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90" windowWidth="12540" windowHeight="5625" tabRatio="780" activeTab="0"/>
  </bookViews>
  <sheets>
    <sheet name="Cover" sheetId="1" r:id="rId1"/>
    <sheet name="Glosar" sheetId="2" r:id="rId2"/>
    <sheet name="A. Model Design" sheetId="3" r:id="rId3"/>
    <sheet name="B. Dashboard" sheetId="4" r:id="rId4"/>
    <sheet name="C. Masterfiles" sheetId="5" r:id="rId5"/>
    <sheet name="D.Reconciliation" sheetId="6" r:id="rId6"/>
    <sheet name="E. Graphs" sheetId="7" r:id="rId7"/>
    <sheet name="1.Subscribers" sheetId="8" r:id="rId8"/>
    <sheet name="2.Traffic" sheetId="9" r:id="rId9"/>
    <sheet name="3.Network Design Parameters" sheetId="10" r:id="rId10"/>
    <sheet name="4. Operational expenditure" sheetId="11" r:id="rId11"/>
    <sheet name="5.Unit investment&amp;opex" sheetId="12" r:id="rId12"/>
    <sheet name="6.Network Design" sheetId="13" r:id="rId13"/>
    <sheet name="7.Network costs" sheetId="14" r:id="rId14"/>
    <sheet name="8.Routing factors" sheetId="15" r:id="rId15"/>
    <sheet name="9.Service costing" sheetId="16" r:id="rId16"/>
    <sheet name="10.Mark ups" sheetId="17" r:id="rId17"/>
    <sheet name="11.Service pricing" sheetId="18" r:id="rId18"/>
  </sheets>
  <definedNames>
    <definedName name="BHEdata">'3.Network Design Parameters'!#REF!</definedName>
    <definedName name="BHEMMS">'3.Network Design Parameters'!#REF!</definedName>
    <definedName name="BHESMS">'3.Network Design Parameters'!#REF!</definedName>
    <definedName name="BHEvideo">'3.Network Design Parameters'!#REF!</definedName>
    <definedName name="BHEvoice">'3.Network Design Parameters'!$F$17</definedName>
    <definedName name="BlockingInput">'3.Network Design Parameters'!#REF!</definedName>
    <definedName name="BlockingRate">'3.Network Design Parameters'!#REF!</definedName>
    <definedName name="BlockingTable">'3.Network Design Parameters'!#REF!</definedName>
    <definedName name="solver_adj" localSheetId="3" hidden="1">'B. Dashboard'!#REF!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'B. Dashboard'!#REF!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0.1</definedName>
  </definedNames>
  <calcPr fullCalcOnLoad="1"/>
</workbook>
</file>

<file path=xl/comments12.xml><?xml version="1.0" encoding="utf-8"?>
<comments xmlns="http://schemas.openxmlformats.org/spreadsheetml/2006/main">
  <authors>
    <author>yxs</author>
  </authors>
  <commentList>
    <comment ref="H8" authorId="0">
      <text>
        <r>
          <rPr>
            <b/>
            <sz val="8"/>
            <rFont val="Tahoma"/>
            <family val="2"/>
          </rPr>
          <t>yxs:</t>
        </r>
        <r>
          <rPr>
            <sz val="8"/>
            <rFont val="Tahoma"/>
            <family val="2"/>
          </rPr>
          <t xml:space="preserve">
assumption
</t>
        </r>
      </text>
    </comment>
  </commentList>
</comments>
</file>

<file path=xl/comments14.xml><?xml version="1.0" encoding="utf-8"?>
<comments xmlns="http://schemas.openxmlformats.org/spreadsheetml/2006/main">
  <authors>
    <author>DAR</author>
  </authors>
  <commentList>
    <comment ref="Z1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Tilted annuity formula</t>
        </r>
      </text>
    </comment>
    <comment ref="Z36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Tilited annuity formula</t>
        </r>
      </text>
    </comment>
    <comment ref="AG48" authorId="0">
      <text>
        <r>
          <rPr>
            <b/>
            <sz val="9"/>
            <rFont val="Tahoma"/>
            <family val="2"/>
          </rPr>
          <t>DAR:</t>
        </r>
        <r>
          <rPr>
            <sz val="9"/>
            <rFont val="Tahoma"/>
            <family val="2"/>
          </rPr>
          <t xml:space="preserve">
Total direct opex in 2009 - used for mark-ups in worksheet 4.</t>
        </r>
      </text>
    </comment>
  </commentList>
</comments>
</file>

<file path=xl/sharedStrings.xml><?xml version="1.0" encoding="utf-8"?>
<sst xmlns="http://schemas.openxmlformats.org/spreadsheetml/2006/main" count="2001" uniqueCount="965">
  <si>
    <t xml:space="preserve">Această versiune a modelului Bottom-up LRIC pentru reţele fixe este oferită în scop ilustrativ.  Toate datele sensibile prezentate de furnizori au fost substituite pentru a păstra taina comercială.  </t>
  </si>
  <si>
    <t>Fibre cost - Per STM -4</t>
  </si>
  <si>
    <t>Fibre cost - Per STM -16</t>
  </si>
  <si>
    <t>Copper cost - Per cable</t>
  </si>
  <si>
    <t xml:space="preserve">Equipment </t>
  </si>
  <si>
    <t>Equipment</t>
  </si>
  <si>
    <t>Purchase price per unit of equipment in Year 1 (Euro) - weighted by volume</t>
  </si>
  <si>
    <t>Basic inputs - derived from operator inputs and international benchmarks</t>
  </si>
  <si>
    <t xml:space="preserve">Annual asset price trend - transmission </t>
  </si>
  <si>
    <t>Capitalised installation costs - equipment</t>
  </si>
  <si>
    <t>Capitalised installation costs - transmission</t>
  </si>
  <si>
    <t>Operating and maintenance costs - transmission</t>
  </si>
  <si>
    <t>USD</t>
  </si>
  <si>
    <t>Currency unit</t>
  </si>
  <si>
    <t>Primary</t>
  </si>
  <si>
    <t xml:space="preserve">Transmission elements </t>
  </si>
  <si>
    <t>Year for which data is provided</t>
  </si>
  <si>
    <t>Network Opex (MDL)</t>
  </si>
  <si>
    <t>Network Opex (Euro)</t>
  </si>
  <si>
    <t xml:space="preserve">All network elements </t>
  </si>
  <si>
    <t>2009 (Euro)</t>
  </si>
  <si>
    <t>% mark ups - 2009</t>
  </si>
  <si>
    <t xml:space="preserve"> Mark-ups as used in current sensitivity scenario</t>
  </si>
  <si>
    <t>Total annual network costs (capex+ direct opex)</t>
  </si>
  <si>
    <t>Scrap value (as % of capital)</t>
  </si>
  <si>
    <t>Scrap value at end of asset life</t>
  </si>
  <si>
    <t>Reconcile asset volumes with operator actuals</t>
  </si>
  <si>
    <t>Number of network assets</t>
  </si>
  <si>
    <t>Number of transmission links</t>
  </si>
  <si>
    <t>Annual asset price trend - h/w related</t>
  </si>
  <si>
    <t>Annual asset price trend - s/w related</t>
  </si>
  <si>
    <t>Annual installation cost trend</t>
  </si>
  <si>
    <t>Annual opex cost trend</t>
  </si>
  <si>
    <t>Operating and maintenance costs - h/w related</t>
  </si>
  <si>
    <t>Operating and maintenance costs - s/w related</t>
  </si>
  <si>
    <t>Utilisation parameters</t>
  </si>
  <si>
    <t>Market</t>
  </si>
  <si>
    <t xml:space="preserve">Efficient operator </t>
  </si>
  <si>
    <t>Task</t>
  </si>
  <si>
    <t>Instructions</t>
  </si>
  <si>
    <t>Steps in the conversion to LRIC</t>
  </si>
  <si>
    <t>excluded</t>
  </si>
  <si>
    <t xml:space="preserve">Exclude mark-ups </t>
  </si>
  <si>
    <t>Cost basis:</t>
  </si>
  <si>
    <t>Set E75:E77 in worksheet 4 to 0</t>
  </si>
  <si>
    <t xml:space="preserve">Exclude interconnection specific costs </t>
  </si>
  <si>
    <t>Requirements</t>
  </si>
  <si>
    <t>Total costs from the model (calculated)</t>
  </si>
  <si>
    <t>Total interconnection minutes from the model (calculated)</t>
  </si>
  <si>
    <t>Total interconnection minutes from the model (value copied)</t>
  </si>
  <si>
    <t>Unit LRIC of interconnection (calculated)</t>
  </si>
  <si>
    <t>Total LRIC of interconnection</t>
  </si>
  <si>
    <t>Total network costs from the model (including voice termination)</t>
  </si>
  <si>
    <t>Add interconection specific costs</t>
  </si>
  <si>
    <t xml:space="preserve">Avoidable costs of voice termination </t>
  </si>
  <si>
    <t>Interconnection specific costs (calculated)</t>
  </si>
  <si>
    <t>E3</t>
  </si>
  <si>
    <t>Setting for TSLRIC+ or LRIC</t>
  </si>
  <si>
    <t>Interconnection specific costs (value copied)</t>
  </si>
  <si>
    <t>Compute total and unit LRIC</t>
  </si>
  <si>
    <t>TSLRIC+</t>
  </si>
  <si>
    <t>included</t>
  </si>
  <si>
    <t>Total network costs from the model (excluding voice termination)</t>
  </si>
  <si>
    <t>Included</t>
  </si>
  <si>
    <t>Excluded</t>
  </si>
  <si>
    <t>Voice termination:</t>
  </si>
  <si>
    <t>Set cost basis to "LRIC"</t>
  </si>
  <si>
    <t>See  below</t>
  </si>
  <si>
    <t>Compute avoidable interconnection costs</t>
  </si>
  <si>
    <t>E2</t>
  </si>
  <si>
    <t>E4</t>
  </si>
  <si>
    <t>E5</t>
  </si>
  <si>
    <t>Do not touch</t>
  </si>
  <si>
    <t>E6</t>
  </si>
  <si>
    <t>TSLRIC+ rates for all operators</t>
  </si>
  <si>
    <t>% mark ups</t>
  </si>
  <si>
    <t>District</t>
  </si>
  <si>
    <t>RAU</t>
  </si>
  <si>
    <t>Remote Access Unit</t>
  </si>
  <si>
    <t>LS</t>
  </si>
  <si>
    <t>Local Switch</t>
  </si>
  <si>
    <t>TS</t>
  </si>
  <si>
    <t>Tandem Switch</t>
  </si>
  <si>
    <t>ISC</t>
  </si>
  <si>
    <t>International switching centre</t>
  </si>
  <si>
    <t>Interconnect gateway</t>
  </si>
  <si>
    <t>LS-TS</t>
  </si>
  <si>
    <t>TS-TS</t>
  </si>
  <si>
    <t>TS-ISC</t>
  </si>
  <si>
    <t>TS-IGW</t>
  </si>
  <si>
    <t>On-net local calls</t>
  </si>
  <si>
    <t>On-net national calls</t>
  </si>
  <si>
    <t>Transit calls</t>
  </si>
  <si>
    <t>Calls to directory enquiries, emergency &amp; helpdesk</t>
  </si>
  <si>
    <t>Calls to non-geographic numbers</t>
  </si>
  <si>
    <t>Internet dial-up calls</t>
  </si>
  <si>
    <t>MoldTelecom</t>
  </si>
  <si>
    <t>Moldtelecom</t>
  </si>
  <si>
    <t>MoldTelecom  - Split between transmission technologies</t>
  </si>
  <si>
    <t>Rau-TS</t>
  </si>
  <si>
    <t>ISC-ISC</t>
  </si>
  <si>
    <t>ISC-IN</t>
  </si>
  <si>
    <t>TS-IN</t>
  </si>
  <si>
    <t>LS-LS</t>
  </si>
  <si>
    <t>T08</t>
  </si>
  <si>
    <t>T09</t>
  </si>
  <si>
    <t>4*E1</t>
  </si>
  <si>
    <t>8*E1</t>
  </si>
  <si>
    <t>16*E1</t>
  </si>
  <si>
    <t>MoldTelecom - length of links</t>
  </si>
  <si>
    <t>Utilisation of links</t>
  </si>
  <si>
    <t>MoldTelecom - type of links</t>
  </si>
  <si>
    <t>MoldTelecom - proportion of each link type</t>
  </si>
  <si>
    <t xml:space="preserve">Fibre cost </t>
  </si>
  <si>
    <t xml:space="preserve">Purchase price per unit of equipment in Year 1 (Euro) </t>
  </si>
  <si>
    <t>Equipment costs per link</t>
  </si>
  <si>
    <t>per km</t>
  </si>
  <si>
    <t xml:space="preserve">Per E1 </t>
  </si>
  <si>
    <t>Number of transmission E1s</t>
  </si>
  <si>
    <t>Average link length (km)</t>
  </si>
  <si>
    <t>Installed transmission length (km)</t>
  </si>
  <si>
    <t xml:space="preserve">Copper </t>
  </si>
  <si>
    <t>Required number of links</t>
  </si>
  <si>
    <t># of links</t>
  </si>
  <si>
    <t>Fibre build cost (includes duct)</t>
  </si>
  <si>
    <t>Copper build cost (includes duct)</t>
  </si>
  <si>
    <t xml:space="preserve">Transmission links </t>
  </si>
  <si>
    <t>Network elements (transmission links)</t>
  </si>
  <si>
    <t>Cable costs per link</t>
  </si>
  <si>
    <t xml:space="preserve">Cost model inputs - total cost per link </t>
  </si>
  <si>
    <t>Busy Hour Erlang by service</t>
  </si>
  <si>
    <t>Busy Hour Erlang by equipment</t>
  </si>
  <si>
    <t>Cost Driver</t>
  </si>
  <si>
    <t>Required network elements</t>
  </si>
  <si>
    <t>RAU dimensioning</t>
  </si>
  <si>
    <t>LS dimensioning</t>
  </si>
  <si>
    <t>TS dimensioning</t>
  </si>
  <si>
    <t>ISC dimensioning</t>
  </si>
  <si>
    <t>RAU capacity</t>
  </si>
  <si>
    <t>Subs/RAU</t>
  </si>
  <si>
    <t># RAU</t>
  </si>
  <si>
    <t>Busy hour erlangs</t>
  </si>
  <si>
    <t>LS capacity</t>
  </si>
  <si>
    <t># LS</t>
  </si>
  <si>
    <t>TS capacity</t>
  </si>
  <si>
    <t>BHE / TS</t>
  </si>
  <si>
    <t># TS</t>
  </si>
  <si>
    <t>ISC capacity</t>
  </si>
  <si>
    <t>BHE / ISC</t>
  </si>
  <si>
    <t># ISC</t>
  </si>
  <si>
    <t>Subs/IGW</t>
  </si>
  <si>
    <t>Subs/ RBIL</t>
  </si>
  <si>
    <t>Subs/ IBIL</t>
  </si>
  <si>
    <t>% of subscribers served by RAU</t>
  </si>
  <si>
    <t>% of subscribers served with LS</t>
  </si>
  <si>
    <r>
      <t xml:space="preserve">Parametrii tehnici cheie din </t>
    </r>
    <r>
      <rPr>
        <b/>
        <i/>
        <sz val="10"/>
        <rFont val="Arial"/>
        <family val="2"/>
      </rPr>
      <t>B. Dashboard</t>
    </r>
  </si>
  <si>
    <t>Traficul în ore de vîrf, în minute şi erlangi; ratele utilizării reţelei de transmisie</t>
  </si>
  <si>
    <r>
      <t xml:space="preserve">Capacitatea necesară pentru fiecare element de reţea este utilizată în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stabili numărul echipamentelor</t>
    </r>
  </si>
  <si>
    <r>
      <t xml:space="preserve">Divizarea costurilor opex utilizate în </t>
    </r>
    <r>
      <rPr>
        <b/>
        <i/>
        <sz val="10"/>
        <rFont val="Arial"/>
        <family val="2"/>
      </rPr>
      <t>10. Mark-ups</t>
    </r>
  </si>
  <si>
    <r>
      <t xml:space="preserve">Costurile unitare utilizate în comun cu volumele echipamentelor din </t>
    </r>
    <r>
      <rPr>
        <b/>
        <i/>
        <sz val="10"/>
        <rFont val="Arial"/>
        <family val="2"/>
      </rPr>
      <t>6. Network design</t>
    </r>
    <r>
      <rPr>
        <sz val="10"/>
        <rFont val="Arial"/>
        <family val="2"/>
      </rPr>
      <t xml:space="preserve"> pentru a deriva costurile totale în </t>
    </r>
    <r>
      <rPr>
        <b/>
        <sz val="10"/>
        <rFont val="Arial"/>
        <family val="2"/>
      </rPr>
      <t>7.</t>
    </r>
    <r>
      <rPr>
        <b/>
        <i/>
        <sz val="10"/>
        <rFont val="Arial"/>
        <family val="2"/>
      </rPr>
      <t xml:space="preserve"> Network costing</t>
    </r>
  </si>
  <si>
    <r>
      <t xml:space="preserve">Parametrii financiari de bază din </t>
    </r>
    <r>
      <rPr>
        <b/>
        <i/>
        <sz val="10"/>
        <rFont val="Arial"/>
        <family val="2"/>
      </rPr>
      <t>B. Dashboard</t>
    </r>
  </si>
  <si>
    <r>
      <t>Necesităţile de volume luate din 2</t>
    </r>
    <r>
      <rPr>
        <b/>
        <i/>
        <sz val="10"/>
        <rFont val="Arial"/>
        <family val="2"/>
      </rPr>
      <t>. Traffic</t>
    </r>
  </si>
  <si>
    <r>
      <t xml:space="preserve">Capacitatea fiecărui element de reţea luate din </t>
    </r>
    <r>
      <rPr>
        <b/>
        <i/>
        <sz val="10"/>
        <rFont val="Arial"/>
        <family val="2"/>
      </rPr>
      <t>3. Network Design Parameters</t>
    </r>
  </si>
  <si>
    <r>
      <t xml:space="preserve">Cerinţe referitoare la aria de acoperire luate din </t>
    </r>
    <r>
      <rPr>
        <b/>
        <i/>
        <sz val="10"/>
        <rFont val="Arial"/>
        <family val="2"/>
      </rPr>
      <t>1. Coverage and Subscribers</t>
    </r>
  </si>
  <si>
    <r>
      <t xml:space="preserve">Numărul de fiecare din echipamentele utilizate în </t>
    </r>
    <r>
      <rPr>
        <b/>
        <i/>
        <sz val="10"/>
        <rFont val="Arial"/>
        <family val="2"/>
      </rPr>
      <t>6. Costurile economice</t>
    </r>
  </si>
  <si>
    <r>
      <t xml:space="preserve">Date privind costurile şi trendul acestora derivate din </t>
    </r>
    <r>
      <rPr>
        <b/>
        <i/>
        <sz val="10"/>
        <rFont val="Arial"/>
        <family val="2"/>
      </rPr>
      <t>5. Unit investment&amp;Opex</t>
    </r>
    <r>
      <rPr>
        <sz val="10"/>
        <rFont val="Arial"/>
        <family val="2"/>
      </rPr>
      <t>.</t>
    </r>
  </si>
  <si>
    <r>
      <t xml:space="preserve">Numărul activelor necesare luate din </t>
    </r>
    <r>
      <rPr>
        <b/>
        <i/>
        <sz val="10"/>
        <rFont val="Arial"/>
        <family val="2"/>
      </rPr>
      <t>6. Network design</t>
    </r>
  </si>
  <si>
    <r>
      <t xml:space="preserve">Utilizarea relativă a fiecărui element de reţea de către fiecare serviciu în parte luată din </t>
    </r>
    <r>
      <rPr>
        <b/>
        <i/>
        <sz val="10"/>
        <rFont val="Arial"/>
        <family val="2"/>
      </rPr>
      <t>3. Network Design Parameters</t>
    </r>
  </si>
  <si>
    <r>
      <t xml:space="preserve">BHE luat din </t>
    </r>
    <r>
      <rPr>
        <b/>
        <i/>
        <sz val="10"/>
        <rFont val="Arial"/>
        <family val="2"/>
      </rPr>
      <t>6. Network Design</t>
    </r>
  </si>
  <si>
    <r>
      <t>Matricea factorilor de rutare utilizată pentru a calcula costul LRIC al serviciilor în 9</t>
    </r>
    <r>
      <rPr>
        <b/>
        <i/>
        <sz val="10"/>
        <rFont val="Arial"/>
        <family val="2"/>
      </rPr>
      <t>. Service costing</t>
    </r>
  </si>
  <si>
    <r>
      <t xml:space="preserve">Volumele de trafic din </t>
    </r>
    <r>
      <rPr>
        <b/>
        <i/>
        <sz val="10"/>
        <rFont val="Arial"/>
        <family val="2"/>
      </rPr>
      <t>2. Traffic</t>
    </r>
  </si>
  <si>
    <r>
      <t xml:space="preserve">Costul total al elementelor de reţea din </t>
    </r>
    <r>
      <rPr>
        <b/>
        <sz val="10"/>
        <rFont val="Arial"/>
        <family val="2"/>
      </rPr>
      <t>7</t>
    </r>
    <r>
      <rPr>
        <b/>
        <i/>
        <sz val="10"/>
        <rFont val="Arial"/>
        <family val="2"/>
      </rPr>
      <t>.</t>
    </r>
    <r>
      <rPr>
        <b/>
        <i/>
        <sz val="10"/>
        <rFont val="Arial"/>
        <family val="2"/>
      </rPr>
      <t xml:space="preserve"> Network Costing</t>
    </r>
  </si>
  <si>
    <r>
      <t xml:space="preserve">Costurile per servicii transferate în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pentru includerea marjelor</t>
    </r>
  </si>
  <si>
    <r>
      <t xml:space="preserve">Numărul abonaţilor luat din </t>
    </r>
    <r>
      <rPr>
        <b/>
        <i/>
        <sz val="10"/>
        <rFont val="Arial"/>
        <family val="2"/>
      </rPr>
      <t>3. Coverage and Subscribers</t>
    </r>
  </si>
  <si>
    <r>
      <t xml:space="preserve">Costurile comune şi cu amănuntul luate din </t>
    </r>
    <r>
      <rPr>
        <b/>
        <i/>
        <sz val="10"/>
        <rFont val="Arial"/>
        <family val="2"/>
      </rPr>
      <t>4. Operational expenditure</t>
    </r>
  </si>
  <si>
    <r>
      <t>Marjele la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pentru a fi utilizate la calcularea datelor din </t>
    </r>
    <r>
      <rPr>
        <b/>
        <i/>
        <sz val="10"/>
        <rFont val="Arial"/>
        <family val="2"/>
      </rPr>
      <t>11. Service pricing</t>
    </r>
    <r>
      <rPr>
        <sz val="10"/>
        <rFont val="Arial"/>
        <family val="2"/>
      </rPr>
      <t xml:space="preserve"> </t>
    </r>
  </si>
  <si>
    <r>
      <t>Costurile de reţea per servicii luate din 9</t>
    </r>
    <r>
      <rPr>
        <b/>
        <i/>
        <sz val="10"/>
        <rFont val="Arial"/>
        <family val="2"/>
      </rPr>
      <t>. Service costing</t>
    </r>
    <r>
      <rPr>
        <sz val="10"/>
        <rFont val="Arial"/>
        <family val="2"/>
      </rPr>
      <t xml:space="preserve"> </t>
    </r>
  </si>
  <si>
    <r>
      <t xml:space="preserve">Rezultatele se transferă în </t>
    </r>
    <r>
      <rPr>
        <b/>
        <i/>
        <sz val="10"/>
        <rFont val="Arial"/>
        <family val="2"/>
      </rPr>
      <t xml:space="preserve">B. Dashboard </t>
    </r>
    <r>
      <rPr>
        <sz val="10"/>
        <rFont val="Arial"/>
        <family val="2"/>
      </rPr>
      <t xml:space="preserve">şi </t>
    </r>
    <r>
      <rPr>
        <b/>
        <i/>
        <sz val="10"/>
        <rFont val="Arial"/>
        <family val="2"/>
      </rPr>
      <t>E. Graphs</t>
    </r>
  </si>
  <si>
    <r>
      <t xml:space="preserve">Rezultatele analizei de sensibilitate preluate din </t>
    </r>
    <r>
      <rPr>
        <b/>
        <i/>
        <sz val="10"/>
        <rFont val="Arial"/>
        <family val="2"/>
      </rPr>
      <t>11. Service pricing</t>
    </r>
  </si>
  <si>
    <r>
      <t xml:space="preserve">Numărul echipamentelor precum sunt calculate de model în </t>
    </r>
    <r>
      <rPr>
        <b/>
        <i/>
        <sz val="10"/>
        <rFont val="Arial"/>
        <family val="2"/>
      </rPr>
      <t>6. Network design</t>
    </r>
  </si>
  <si>
    <t>Numărul actual de echipamente luate din 3. Network design parameters</t>
  </si>
  <si>
    <t>Costurile precum sunt calculate de model în 7.Network costing. OPEX luat din 4. Operational expenditure</t>
  </si>
  <si>
    <r>
      <t xml:space="preserve">Rezultate luate din </t>
    </r>
    <r>
      <rPr>
        <b/>
        <i/>
        <sz val="10"/>
        <rFont val="Arial"/>
        <family val="2"/>
      </rPr>
      <t>11. Service pricing</t>
    </r>
  </si>
  <si>
    <t xml:space="preserve">Intelligent network </t>
  </si>
  <si>
    <t>Subs / LS</t>
  </si>
  <si>
    <t xml:space="preserve"> Moldtelecom</t>
  </si>
  <si>
    <t xml:space="preserve">Moldtelecom costs </t>
  </si>
  <si>
    <t>Subscribers by district</t>
  </si>
  <si>
    <t>Business subscribers</t>
  </si>
  <si>
    <t>Residential subscribers</t>
  </si>
  <si>
    <t>Penetration in 2012</t>
  </si>
  <si>
    <t>Moldtelecom subscribers</t>
  </si>
  <si>
    <t>Others</t>
  </si>
  <si>
    <t>Market share  - 2008</t>
  </si>
  <si>
    <t>Market share  - 2012</t>
  </si>
  <si>
    <t xml:space="preserve"># </t>
  </si>
  <si>
    <t xml:space="preserve">Market share </t>
  </si>
  <si>
    <t>Subsciber lines - model inputs</t>
  </si>
  <si>
    <t>Average E1 utilisation of links</t>
  </si>
  <si>
    <t>Average utilisation per E1</t>
  </si>
  <si>
    <t>MDL ('000s)</t>
  </si>
  <si>
    <t>Retail</t>
  </si>
  <si>
    <t>Materials</t>
  </si>
  <si>
    <t xml:space="preserve">Labor remuneration </t>
  </si>
  <si>
    <t xml:space="preserve">Social insurance </t>
  </si>
  <si>
    <t>Medical insurance</t>
  </si>
  <si>
    <t xml:space="preserve">Depreciation of fixed assets </t>
  </si>
  <si>
    <t xml:space="preserve">Other expenditure </t>
  </si>
  <si>
    <t>Interconnection</t>
  </si>
  <si>
    <t>Access deficit</t>
  </si>
  <si>
    <t>Mandatory payments to ANRCETI, total:</t>
  </si>
  <si>
    <t>Payment for IFR</t>
  </si>
  <si>
    <t>Losses from exemptions</t>
  </si>
  <si>
    <t>Other expenditures, total</t>
  </si>
  <si>
    <t>Direct network opex</t>
  </si>
  <si>
    <t>excluded for network assets</t>
  </si>
  <si>
    <t>Core network capex and direct opex</t>
  </si>
  <si>
    <t>Core network direct opex</t>
  </si>
  <si>
    <t>Proportion of direct opex in core network</t>
  </si>
  <si>
    <t>Common</t>
  </si>
  <si>
    <t>Set G111:Z112 and G130:Z130 in worksheet 5 to 0</t>
  </si>
  <si>
    <t>Used in the current sensitivity case</t>
  </si>
  <si>
    <t>Network parameters</t>
  </si>
  <si>
    <t>Originating calls (local)</t>
  </si>
  <si>
    <t xml:space="preserve">Originating calls (national) </t>
  </si>
  <si>
    <t>Originating calls (international)</t>
  </si>
  <si>
    <t>Terminating calls (local)</t>
  </si>
  <si>
    <t xml:space="preserve">Terminating calls (national) </t>
  </si>
  <si>
    <t>Terminating calls (international)</t>
  </si>
  <si>
    <t>Local termination</t>
  </si>
  <si>
    <t>National termination - costs</t>
  </si>
  <si>
    <t>National termination - % volumes</t>
  </si>
  <si>
    <t>Summary model outputs</t>
  </si>
  <si>
    <t>National termination</t>
  </si>
  <si>
    <t>Results of current Sensitivity Case</t>
  </si>
  <si>
    <t>Calculations of current Sensitivity Case</t>
  </si>
  <si>
    <t>Set F128:J130 and F146:J148 in worksheet 2 to 0</t>
  </si>
  <si>
    <t>Calculations for pure LRIC - average termination rates</t>
  </si>
  <si>
    <t>Call termination - volumes</t>
  </si>
  <si>
    <t>Total - national termination</t>
  </si>
  <si>
    <t>Total - all termination</t>
  </si>
  <si>
    <t>Average national termination cost</t>
  </si>
  <si>
    <t>Data deleted as commercially confidential</t>
  </si>
  <si>
    <t>Calculations for pure LRIC - local and national termination rates</t>
  </si>
  <si>
    <t>Glosar</t>
  </si>
  <si>
    <t>Modelul LRIC Bottom-Up pentru reţelele de telefonie fixă</t>
  </si>
  <si>
    <t>Acest model LRIC Bottom-up pentru reţelele fixe este oferit operatorilor cu scop ilustrativ. Toate datele furnizate de către operatori au fost eliminate sau modificate pentru a păstra confidenţialitatea comercială.</t>
  </si>
  <si>
    <t>Funcţia:</t>
  </si>
  <si>
    <t>Prezintă rezultatele cheie şi datele de intrare ale ipotezelor cheie pe o foaie pentru a facilita analiza sensibilităţii</t>
  </si>
  <si>
    <t>Date de intrare:</t>
  </si>
  <si>
    <t>Ipotezele cazului de bază şi rezultatele; ipoteze de sensibilitate</t>
  </si>
  <si>
    <t>Transferuri:</t>
  </si>
  <si>
    <t>Calcule:</t>
  </si>
  <si>
    <t>Variaţiile între cazurile de bază şi cele de sensibilitate</t>
  </si>
  <si>
    <t>Date de ieşire:</t>
  </si>
  <si>
    <t>Lipsă</t>
  </si>
  <si>
    <t>Stabileşte parametrii cheie care sunt utilizaţi în model</t>
  </si>
  <si>
    <t>Raioane, servicii, elemente de reţea şi legături de transmisie</t>
  </si>
  <si>
    <t>Datele de intrare sunt utilizate în toate foile de lucru</t>
  </si>
  <si>
    <t>Costul capitalului luat din contabilitatea operatorului</t>
  </si>
  <si>
    <t>Produce diagrame</t>
  </si>
  <si>
    <t>Diagrame utilizate pentru Raportul final</t>
  </si>
  <si>
    <t>Specifică numărul de abonaţi şi aria de acoperire pe raioane</t>
  </si>
  <si>
    <t>Date de intrare referitoare la numărul de abonaţi şi aria de acoperire luate din răspunsurile la Formularele de date LRIC</t>
  </si>
  <si>
    <t>Cota de piaţă în funcţie de numărul de abonaţi al unui operator modern eficient (MEO)</t>
  </si>
  <si>
    <t>Prognoze şi estimări a datelor cu privire la abonaţi/aria de acoperire utilizînd tehnici de interpolare şi extrapolare</t>
  </si>
  <si>
    <t>Identifică volumele de trafic pe servicii</t>
  </si>
  <si>
    <t>Date cu privire la trafic</t>
  </si>
  <si>
    <t>Date transferate din alte foi de lucru</t>
  </si>
  <si>
    <t>Lipsă (altele decăt datele de ieşire)</t>
  </si>
  <si>
    <t>Date oferite cu scop ilustrativ - ACESTEA NU SUNT DATE REALE ALE OPERATORULUI</t>
  </si>
  <si>
    <t>Rezultate oferite cu scop ilustrativ - ACESTEA NU REZULTĂ DIN DATE REALE ALE OPERATORULUI</t>
  </si>
  <si>
    <t>NU ESTE POSIBILĂ - RECONCILIEREA ESTE POSIBILĂ DOAR ÎN CAZUL MODELELOR REALE ALE OPERATORILOR</t>
  </si>
  <si>
    <t>stabileşte baza costului la "TSLRIC+"</t>
  </si>
  <si>
    <t>valoare inserată din rîndul 80 cu cazul de sensibilitate "Moldtelecom"</t>
  </si>
  <si>
    <t>valoare inserată din rîndul 80 cu cazul de sensibilitate "MEO"</t>
  </si>
  <si>
    <t>valoare inserată din rîndul 81 cu cazul de sensibilitate "Moldtelecom"</t>
  </si>
  <si>
    <t>valoare inserată din rîndul 81 cu cazul de sensibilitate "MEO"</t>
  </si>
  <si>
    <t>Stabileşte cazurile de sensibilitate la "MEO"</t>
  </si>
  <si>
    <t>valoare inserată din rîndul 159 cu baza costurilor "LRIC" şi terminarea apelurilor voce "inclus"</t>
  </si>
  <si>
    <t>valoare inserată din rîndul 159 cu baza costurilor "LRIC" şi terminarea apelurilor voce "exclus"</t>
  </si>
  <si>
    <t>stabileşte tariful pentru terminarea apelurilor la "inclus"</t>
  </si>
  <si>
    <t>valoare inserată din rîndul 163 cu baza costurilor "TSLRIC+"</t>
  </si>
  <si>
    <t>valoare inserată din rîndul 166 cu terminarea apelurilor voce "inclus"</t>
  </si>
  <si>
    <t>Valoare copiată din foaia de lucru 7, Celula G189, în cazul scenariului cu Moldtelecom</t>
  </si>
  <si>
    <t>Valoare copiată din foaia de lucru 7, Celula AG47, în cazul scenariului cu Moldtelecom</t>
  </si>
  <si>
    <t>Date şterse din motiv de confidenţialitate comercială</t>
  </si>
  <si>
    <t xml:space="preserve"> baza de abonaţi care derivă rezultate modelului</t>
  </si>
  <si>
    <t>n*E1 partajate pe conexiuni de cupru/fibră; STM-x se asumă că sunt prin fibră</t>
  </si>
  <si>
    <r>
      <t xml:space="preserve">Numărul de abonaţi utilizat pentru a prognoza traficul (dacă datele nu sunt direct accesibile) în </t>
    </r>
    <r>
      <rPr>
        <b/>
        <i/>
        <sz val="10"/>
        <rFont val="Arial"/>
        <family val="2"/>
      </rPr>
      <t xml:space="preserve">2. Traffic. </t>
    </r>
  </si>
  <si>
    <t>Aria de acoperire utilizată pentru a stabili volumul de echipamente (în conjunctură cu 3. Network design parameters) în 6. Network design</t>
  </si>
  <si>
    <r>
      <t xml:space="preserve">Volumele de trafic combinate cu </t>
    </r>
    <r>
      <rPr>
        <b/>
        <i/>
        <sz val="10"/>
        <rFont val="Arial"/>
        <family val="2"/>
      </rPr>
      <t xml:space="preserve">3. Network design parameters </t>
    </r>
    <r>
      <rPr>
        <sz val="10"/>
        <rFont val="Arial"/>
        <family val="2"/>
      </rPr>
      <t>pentru</t>
    </r>
    <r>
      <rPr>
        <sz val="10"/>
        <rFont val="Arial"/>
        <family val="2"/>
      </rPr>
      <t xml:space="preserve"> a produce </t>
    </r>
    <r>
      <rPr>
        <b/>
        <i/>
        <sz val="10"/>
        <rFont val="Arial"/>
        <family val="2"/>
      </rPr>
      <t>6. Network design</t>
    </r>
  </si>
  <si>
    <t>Parametrii reţelei radio, detalii cu privire la reţea şi echipamentele de transmisie, tabelele cu factorii de rutare şi tabelele erlang</t>
  </si>
  <si>
    <t>Cheltuielile operaţionale şi cheile de alocare</t>
  </si>
  <si>
    <t>Divezează costurile pe reţea, amănunt şi comune</t>
  </si>
  <si>
    <t>Ipotezele privind costurile per unitate în anul de bază şi trendul de preţuri</t>
  </si>
  <si>
    <t>Determină numărul fiecărei categorii de activ necesar pentru fiecare an utilizat în model</t>
  </si>
  <si>
    <t>Costurile legate de echipamente (capitale, de instalare, operaţionale şi totale) pentru toţi anii şi pe fiecare categorie de activ</t>
  </si>
  <si>
    <r>
      <t xml:space="preserve">Costurile totale per categorie de activ transferat în </t>
    </r>
    <r>
      <rPr>
        <b/>
        <i/>
        <sz val="10"/>
        <rFont val="Arial"/>
        <family val="2"/>
      </rPr>
      <t>8. Costurile economice</t>
    </r>
    <r>
      <rPr>
        <sz val="10"/>
        <rFont val="Arial"/>
        <family val="2"/>
      </rPr>
      <t xml:space="preserve"> </t>
    </r>
  </si>
  <si>
    <t>Costurile serviciilor calculate pentru toţi anii</t>
  </si>
  <si>
    <t>Alocarea costurilor de echipamente per servicii utilizînd factorii de rutare</t>
  </si>
  <si>
    <t>Calculează LRIC + marje pentru fiecare serviciu</t>
  </si>
  <si>
    <t>Calculează marja pentru fiecare serviciu</t>
  </si>
  <si>
    <t>Explicaţia termenilor utilizaţi în model:</t>
  </si>
  <si>
    <t>ENGLISH</t>
  </si>
  <si>
    <t>ROMÂNĂ</t>
  </si>
  <si>
    <t>% Annual change in installation costs</t>
  </si>
  <si>
    <t>Modificarea anuală a costurilor pentru instalare, %</t>
  </si>
  <si>
    <t>% Annual change in operating &amp; maintenance costs</t>
  </si>
  <si>
    <t>Verificarea încrucişată a echipamentelor calculate şi cele efective din reţeaua furnizorului</t>
  </si>
  <si>
    <t>Compararea rezultatelor modelului cu echipamentele efective ale furnizorului</t>
  </si>
  <si>
    <t>date de ieşire care se transferă pe alte foi de lucru lipsesc</t>
  </si>
  <si>
    <t>Prezintă rezultatele în diagrame</t>
  </si>
  <si>
    <t>Stabileste regulile proiectului pentru estimarea scării (mărimii) reţelei mobile</t>
  </si>
  <si>
    <t>Produce ratele care sunt utilizate pentru alocarea costurilor operaţionale şi costurilor comune</t>
  </si>
  <si>
    <t>Identifică costurile unitare pentru fiecare an şi echipament de reţea, inclusiv capitale, cheltuielile operaţionale şi de instalaţii</t>
  </si>
  <si>
    <t>Taxe anuale pentru licenţă în Dolari SUA; calculul WACC</t>
  </si>
  <si>
    <t>Calculează numărul de unităţi de fiecare echipament în baza inventarierii din anul precedent, necesităţi faţă de aria de acoperire şi trafic</t>
  </si>
  <si>
    <t>Calculează cerinţele de capacitate şi utilizare a tuturor echipamentelor</t>
  </si>
  <si>
    <t xml:space="preserve">Tipul metodei de calcul al deprecierii </t>
  </si>
  <si>
    <t xml:space="preserve">Anualizarea costurilor capitale utilizând formula deprecierii </t>
  </si>
  <si>
    <t>Însumarea tipurilor de costuri pentru a calcula costurile totale anuale per fiecare categorie de activ</t>
  </si>
  <si>
    <t>Produce matricea care converteşte costurile per element de reţea în costuri per servicii</t>
  </si>
  <si>
    <t>Identifică marjele relevante pentru costurile comune şi ale activităţii cu amănuntul</t>
  </si>
  <si>
    <t>Calculează marjele din datele contabile şi le compară cu datele de intrare introduse în calitate de ipoteză</t>
  </si>
  <si>
    <t>Trendul anual al costurilor pentru instalări de echipamente</t>
  </si>
  <si>
    <t>Factorul de conversie a numărului anual de minute voce în Erlangi</t>
  </si>
  <si>
    <t>Costurile evitabile ale serviciului de terminare a apelurilor voce</t>
  </si>
  <si>
    <t>Abonaţi business (persoane juridice)</t>
  </si>
  <si>
    <t>Zile în an cu încărcare sporită a reţelei</t>
  </si>
  <si>
    <t>Procentul traficului unei zile cu încărcare sporită a reţelei în traficul anual</t>
  </si>
  <si>
    <t>Procentul traficului unei ore cu încărcare sporită a reţelei în traficul unei zile</t>
  </si>
  <si>
    <t>Ore-Erlang de încărcare per echipament</t>
  </si>
  <si>
    <t>Ore-Erlang de încărcare per serviciu</t>
  </si>
  <si>
    <t>Costurile de cablu per conexiune</t>
  </si>
  <si>
    <t>Apeluri către servicii de directoriu, de urgenţă şi helpdesk (suport abonaţi)</t>
  </si>
  <si>
    <t>Costul  de instalalare ca % din costul de achiziţie al echipamentelor</t>
  </si>
  <si>
    <t>Costul  de instalalare ca % din costul de achiziţie al echipamentelor de transmisiuni</t>
  </si>
  <si>
    <t>Raportul dintre Costurile comune şi costurile totale de reţea, reflectat sub formă procentuală</t>
  </si>
  <si>
    <t>Costul construcţiei(pozării) liniilor de cupru (inclusiv costurile canalizării)</t>
  </si>
  <si>
    <t>Costul construirii echipamentelor de transmisie</t>
  </si>
  <si>
    <t>Moneda</t>
  </si>
  <si>
    <t>Intrările (datele de intrare) directe  în model</t>
  </si>
  <si>
    <t>Cheltuielile operaţionale directe ale reţelei</t>
  </si>
  <si>
    <t>Durata de viaţă economică a echipamentelor</t>
  </si>
  <si>
    <t>Durata de viaţă economică a activelor program</t>
  </si>
  <si>
    <t>Durata de viaţă economică a echipamentelor de transmisie</t>
  </si>
  <si>
    <t>Costul echipamentelor per conexiune</t>
  </si>
  <si>
    <t>Gradul de utilizare a echipamentelor folosit pentru planificarea operaţională</t>
  </si>
  <si>
    <t>Costul conexiunii de fibră  - per E1</t>
  </si>
  <si>
    <t>Costul conexiunii de fibră  - per STM-1</t>
  </si>
  <si>
    <t>Costul conexiunii de fibră  - per STM-16</t>
  </si>
  <si>
    <t>Costul conexiunii de fibră  - per STM-4</t>
  </si>
  <si>
    <t>Aprovizionare (durata în luni)</t>
  </si>
  <si>
    <t>Cheltuielile operaţionale indirecte ale reţelei</t>
  </si>
  <si>
    <t>Raportul dintre Costurile indirecte ale reţelei şi costurile anuale (directe) ale reţelei, reflectat sub formă procentuală</t>
  </si>
  <si>
    <t>Platforma pentru interconectare</t>
  </si>
  <si>
    <t>Sistemul de facturare (partea sistemului de facturare) a serviciile de interconectare</t>
  </si>
  <si>
    <t>Apeluri dial-up către servicii Internet</t>
  </si>
  <si>
    <t>Ipotezele de bază</t>
  </si>
  <si>
    <t>Marjele utilizate în scenariul actual de sensibilitate</t>
  </si>
  <si>
    <t>Parametrii reţelei precum sunt utilizaţi în cazul actual de sensibilitate</t>
  </si>
  <si>
    <t>Costul LRIC al reţelei şi marjele pentru servicii</t>
  </si>
  <si>
    <t>Timpul de aşteptare aferent apelurilor</t>
  </si>
  <si>
    <t>Celule cu date de ieşire copiate către alte foi de lucru</t>
  </si>
  <si>
    <t>Plata pentru CNFR (Centrul Naţional pentru Frecvenţe Radio)</t>
  </si>
  <si>
    <t>Costul mediu ponderat al capitalelui calculat înainte de impozitare</t>
  </si>
  <si>
    <t>Proporţia (medie) traficului din ora cu încărcarea cea mai ridicată în traficul unei zile cu încărcare ridicată</t>
  </si>
  <si>
    <t>Marja alocată costurilor pentru serviciile cu amănuntul</t>
  </si>
  <si>
    <t>Valoarea reziduală a echipamentelor</t>
  </si>
  <si>
    <t>Calcularea costului serviciilor</t>
  </si>
  <si>
    <t>Calculare de tarife pentru servicii</t>
  </si>
  <si>
    <t>Divizarea între tehnologiile de transmisie</t>
  </si>
  <si>
    <t>Rata apelurilor cu succes în totalul încercărilor de apel</t>
  </si>
  <si>
    <t>Sumarul evoluţiei costurilor</t>
  </si>
  <si>
    <t>Comutator tandem</t>
  </si>
  <si>
    <t>Costurile totale de reţea şi comune</t>
  </si>
  <si>
    <t>Costurile totale de reţea</t>
  </si>
  <si>
    <t>Costurile totale de reţea din model (Incluzînd terminarea apelurilor)</t>
  </si>
  <si>
    <t>Costul LRIC per unitate de serviciu de interconectare</t>
  </si>
  <si>
    <t>Transformare minute voce în Erlang</t>
  </si>
  <si>
    <t>Costul mediu ponderat al capitalului</t>
  </si>
  <si>
    <t>Capitalul de lucru</t>
  </si>
  <si>
    <t>Proporţia dintre capitalul de lucru si costurile totale de reţea şi costurile comune</t>
  </si>
  <si>
    <t>Modificarea anuală a costurilor de operare şi mentenanţă, %</t>
  </si>
  <si>
    <t>% Annual change in purchase price</t>
  </si>
  <si>
    <t>Modificarea anuală a preţurilor de achiziţie, %</t>
  </si>
  <si>
    <t>% de abonaţi deserviţi prin RAU (unitatea de acces distantă)</t>
  </si>
  <si>
    <t>% de abonaţi deserviţi prin LS (comutator local)</t>
  </si>
  <si>
    <t>A</t>
  </si>
  <si>
    <t>Trendul anual al preţurilor activelor - hardware</t>
  </si>
  <si>
    <t>Trendul anual al preţurilor activelor - software</t>
  </si>
  <si>
    <t>Trendul anual al preţurilor activelor - transmisie</t>
  </si>
  <si>
    <t>Trendul anual al costului opex (cheltuieli operaţionale)</t>
  </si>
  <si>
    <t>Average</t>
  </si>
  <si>
    <t>Media</t>
  </si>
  <si>
    <t>Average call duration</t>
  </si>
  <si>
    <t>Durata medie a apelului</t>
  </si>
  <si>
    <t>Utilizarea E1 medie de legături</t>
  </si>
  <si>
    <t>Lungimea medie a legăturii (km)</t>
  </si>
  <si>
    <t>Utilizarea medie per E1</t>
  </si>
  <si>
    <t>B</t>
  </si>
  <si>
    <t>Datele de intrare de bază - derivate din datele de intrare a operatorilor şi benchmark-urile internaţionale</t>
  </si>
  <si>
    <t>Traficul facturat</t>
  </si>
  <si>
    <t>Traficul facturat după cum este utilizat cazurile curente de sensibilitate</t>
  </si>
  <si>
    <t>Busy day per year</t>
  </si>
  <si>
    <t>C</t>
  </si>
  <si>
    <t>Celule de calcul</t>
  </si>
  <si>
    <t>Foile de calcul</t>
  </si>
  <si>
    <t>Apeluri către numerele non-geografice</t>
  </si>
  <si>
    <t>Investiţii de capital</t>
  </si>
  <si>
    <t>Capitalised costs of installation as a % of purchase price</t>
  </si>
  <si>
    <t>Utilizare combinată</t>
  </si>
  <si>
    <t>Costuri comune (alocate reţelei)</t>
  </si>
  <si>
    <t>Costul liniilor de cupru - per cablu</t>
  </si>
  <si>
    <t>Cheltuielile de investiţii şi cheltuielile operaţionale directe ale reţelei de bază</t>
  </si>
  <si>
    <t>Cheltuielile operaţionale directe ale reţelei de bază</t>
  </si>
  <si>
    <t>Datele iniţiale ale modelului de calculare a costurilor - costurile totale per legătură</t>
  </si>
  <si>
    <t>Coverage</t>
  </si>
  <si>
    <t>Aria de acoperire</t>
  </si>
  <si>
    <t>D</t>
  </si>
  <si>
    <t>Dashboard</t>
  </si>
  <si>
    <t>Tabloul de bord</t>
  </si>
  <si>
    <t>Date şterse din motiv de confidenţialşitate comercială</t>
  </si>
  <si>
    <t>Date din statistica naţională</t>
  </si>
  <si>
    <t>Deprecierea activelor fixe</t>
  </si>
  <si>
    <t>Proiectarea capacităţii unităţilor</t>
  </si>
  <si>
    <t>E</t>
  </si>
  <si>
    <t>Economic lifetime</t>
  </si>
  <si>
    <t>Durata de viaţă economică</t>
  </si>
  <si>
    <t>Echipament</t>
  </si>
  <si>
    <t>Equipment costs</t>
  </si>
  <si>
    <t>Costul echipamentelor</t>
  </si>
  <si>
    <t>F</t>
  </si>
  <si>
    <t>Costul construcţiei(pozării) liniilor de fibră (inclusiv canalizarea)</t>
  </si>
  <si>
    <t>G</t>
  </si>
  <si>
    <t>Graphs</t>
  </si>
  <si>
    <t>Diagrame</t>
  </si>
  <si>
    <t>I</t>
  </si>
  <si>
    <t>Foi cu date de intrare</t>
  </si>
  <si>
    <t>Date de intrare copiate de pe alte foi de lucru</t>
  </si>
  <si>
    <t>Reţea inteligentă</t>
  </si>
  <si>
    <t>Interconectare</t>
  </si>
  <si>
    <t>Costurile specifice interconectării (calculate)</t>
  </si>
  <si>
    <t>Costurile specifice interconectării (valoarea copiată)</t>
  </si>
  <si>
    <t>Centrul de comutare internaţională</t>
  </si>
  <si>
    <t>K</t>
  </si>
  <si>
    <t>L</t>
  </si>
  <si>
    <t>Remunerarea muncii</t>
  </si>
  <si>
    <t>Length of links</t>
  </si>
  <si>
    <t>Lungimea legăturilor</t>
  </si>
  <si>
    <t>Comuntatot local</t>
  </si>
  <si>
    <t>Pierderi generate de scutiri</t>
  </si>
  <si>
    <t>M</t>
  </si>
  <si>
    <t>Mandatory payments to ANRCETI</t>
  </si>
  <si>
    <t>Plăţile obligatorii către ANRCETO</t>
  </si>
  <si>
    <t>Capacitatea proiectată de furnizor</t>
  </si>
  <si>
    <t>Market share</t>
  </si>
  <si>
    <t>Cota de piaţă</t>
  </si>
  <si>
    <t>Mark-ups</t>
  </si>
  <si>
    <t>Marje</t>
  </si>
  <si>
    <t>Mark-ups as used in current sensitivity scenario</t>
  </si>
  <si>
    <t>Marjele utilizate pentru recuperarea opex indirect legat de reţea şi a costurilor comune</t>
  </si>
  <si>
    <t>Masterfiles</t>
  </si>
  <si>
    <t>Materiale</t>
  </si>
  <si>
    <t>Asigurările medicale</t>
  </si>
  <si>
    <t>MEO - Modern Efficient Operator</t>
  </si>
  <si>
    <t>MEO - Operatorul modern eficient</t>
  </si>
  <si>
    <t>Minute pe oră</t>
  </si>
  <si>
    <t>Model design</t>
  </si>
  <si>
    <t>Structura modelului</t>
  </si>
  <si>
    <t>N</t>
  </si>
  <si>
    <t>Costuri legate de reţea</t>
  </si>
  <si>
    <t>Network design</t>
  </si>
  <si>
    <t>Structura reţelei</t>
  </si>
  <si>
    <t>Network design capacity</t>
  </si>
  <si>
    <t>Capacitatea structurii reţelei</t>
  </si>
  <si>
    <t>Elementul de reţea</t>
  </si>
  <si>
    <t>Utilizarea elementelor de reţea</t>
  </si>
  <si>
    <t>Elementele de reţea (legăturile de transmisie)</t>
  </si>
  <si>
    <t>Cheltuielile pentru investiţii şi operaţionale legate de echipamentul de reţea</t>
  </si>
  <si>
    <t>Sistemul de management al reţelei</t>
  </si>
  <si>
    <t>Cheltuielile operaţionale de reţea şi marjele costurilor comune</t>
  </si>
  <si>
    <t>Parametrii de reţea</t>
  </si>
  <si>
    <t>Numărul echipamentelor dislocate la 1 ianuarie (ajustate la capacităţile echipamentelor)</t>
  </si>
  <si>
    <t>Factorii traficului nefacturat</t>
  </si>
  <si>
    <t>Non-conversation holding time</t>
  </si>
  <si>
    <t>Numărul de E1 per legătură</t>
  </si>
  <si>
    <t>Numărul legăturilor de transmisie</t>
  </si>
  <si>
    <t>O</t>
  </si>
  <si>
    <t>Apeluri locale în reţea</t>
  </si>
  <si>
    <t>Apeluri naţionale în reţea</t>
  </si>
  <si>
    <t>Costurile de operare şi mentenanţă - hardware</t>
  </si>
  <si>
    <t>Costurile de operare şi mentenanţă - software</t>
  </si>
  <si>
    <t>Costurile de operare şi mentenanţă - transmisie</t>
  </si>
  <si>
    <t>Cheltuieli operaţionale</t>
  </si>
  <si>
    <t xml:space="preserve">Operational expenditure by category </t>
  </si>
  <si>
    <t>Cheltuieli operaţionale divizate pe categorii</t>
  </si>
  <si>
    <t>Sistem operaţional de suport</t>
  </si>
  <si>
    <t>Categoriile cheltuielilor operaţionale</t>
  </si>
  <si>
    <t>Apeluri de originare (internaţional)</t>
  </si>
  <si>
    <t>Apeluri de originare (local)</t>
  </si>
  <si>
    <t>Apeluri de originare (naţional)</t>
  </si>
  <si>
    <t>Alte cheltuieli</t>
  </si>
  <si>
    <t>P</t>
  </si>
  <si>
    <t>Ponderea cheltuielilor operaţionale directe în reţeaua de bază</t>
  </si>
  <si>
    <t>Proportion of each link type</t>
  </si>
  <si>
    <t>Ponderea fiecărui tip de legături</t>
  </si>
  <si>
    <t>Capacităţi provizionate de E1</t>
  </si>
  <si>
    <t>Purchase price per unit of equipment</t>
  </si>
  <si>
    <t>Preţul de achiziţie per unitate de echipament</t>
  </si>
  <si>
    <t>R</t>
  </si>
  <si>
    <t>Reconciliation</t>
  </si>
  <si>
    <t>Reconciliere</t>
  </si>
  <si>
    <t>Unitatea de acces distantă</t>
  </si>
  <si>
    <t xml:space="preserve">Capacitate necesară </t>
  </si>
  <si>
    <t>Elemente de reţea necesare</t>
  </si>
  <si>
    <t>Abonaţi persoane fizice</t>
  </si>
  <si>
    <t>Cu amănuntul</t>
  </si>
  <si>
    <t>Sistemul de billing pentru serviciile cu amănuntul</t>
  </si>
  <si>
    <t>Routing factors</t>
  </si>
  <si>
    <t>Factorii de rutare</t>
  </si>
  <si>
    <t>Factorii de rutare utilizaţi în cazul curent de sensibilitate</t>
  </si>
  <si>
    <t>Tabela de rutare - comutare</t>
  </si>
  <si>
    <t>Tabela de rutare - transmisie</t>
  </si>
  <si>
    <t>S</t>
  </si>
  <si>
    <t>Analiza sensibilităţii</t>
  </si>
  <si>
    <t>Sensitivitz cases</t>
  </si>
  <si>
    <t>Cazurile de sensibilitate</t>
  </si>
  <si>
    <t>Asigurarea socială</t>
  </si>
  <si>
    <t>Split between transmission technologies</t>
  </si>
  <si>
    <t>Abonaţi</t>
  </si>
  <si>
    <t>Summary of economic costs</t>
  </si>
  <si>
    <t>Sumarul costurilor economice</t>
  </si>
  <si>
    <t>Foile de sumar</t>
  </si>
  <si>
    <t>T</t>
  </si>
  <si>
    <t>Terminare de apeluri (Internaţional)</t>
  </si>
  <si>
    <t>Terminare de apeluri (local)</t>
  </si>
  <si>
    <t>Terminare de apeluri (naţional)</t>
  </si>
  <si>
    <t>Total annual network costs</t>
  </si>
  <si>
    <t>Costul total anual al reţelei</t>
  </si>
  <si>
    <t>Numărul total al încercărilor de apel</t>
  </si>
  <si>
    <t>Costurile totale divizate pe servicii</t>
  </si>
  <si>
    <t>Costul total din model (calculat)</t>
  </si>
  <si>
    <t>Numărul total al minutelor din interconectare (Calculat)</t>
  </si>
  <si>
    <t>Numărul total al minutelor din interconectare (valoare copiată)</t>
  </si>
  <si>
    <t>LRIC total pentru interconectare</t>
  </si>
  <si>
    <t>Totalul minutelor de reţea (luînd în calcul timpul de aşteptare şi încercările de apelare fără succes)</t>
  </si>
  <si>
    <t>Traffic</t>
  </si>
  <si>
    <t>Trafic</t>
  </si>
  <si>
    <t>Tranzit de apeluri</t>
  </si>
  <si>
    <t>Legături de transmisie</t>
  </si>
  <si>
    <t>Reţeaua de transmisie</t>
  </si>
  <si>
    <t>U</t>
  </si>
  <si>
    <t>Unitate</t>
  </si>
  <si>
    <t>Unit equipment cost</t>
  </si>
  <si>
    <t>Costul unităţii de echipament</t>
  </si>
  <si>
    <t>Costul instalării unei unităţi</t>
  </si>
  <si>
    <t>Investiţiile per unitate + Instalare</t>
  </si>
  <si>
    <t>Unit investment and opex</t>
  </si>
  <si>
    <t>Investiţiile per unitete şi cheltuielile operaţionale</t>
  </si>
  <si>
    <t>Unit LRIC of interconnection</t>
  </si>
  <si>
    <t>Unit operating &amp; maintenance costs</t>
  </si>
  <si>
    <t>Costurile de operare şi mentenanţă pe unitate</t>
  </si>
  <si>
    <t>Utilizarea legăturilor</t>
  </si>
  <si>
    <t>Utilizarea parametrilor</t>
  </si>
  <si>
    <t>V</t>
  </si>
  <si>
    <t>Valoarea în cazurile de sensibilitate</t>
  </si>
  <si>
    <t>W</t>
  </si>
  <si>
    <t>WACC</t>
  </si>
  <si>
    <t>Y</t>
  </si>
  <si>
    <t>Anul pentru care sunt furnizate date</t>
  </si>
  <si>
    <t>Service costing</t>
  </si>
  <si>
    <t>BHEs</t>
  </si>
  <si>
    <t>Network element usage</t>
  </si>
  <si>
    <t>NMS</t>
  </si>
  <si>
    <t>total volumes</t>
  </si>
  <si>
    <t>Mark ups</t>
  </si>
  <si>
    <t>Service pricing</t>
  </si>
  <si>
    <t>LRIC</t>
  </si>
  <si>
    <t>Mark up</t>
  </si>
  <si>
    <t>LRIC+mark up</t>
  </si>
  <si>
    <t xml:space="preserve">D1. </t>
  </si>
  <si>
    <t>Variance</t>
  </si>
  <si>
    <t>% change in subscribers</t>
  </si>
  <si>
    <t>Subs/NMS</t>
  </si>
  <si>
    <t>Number required</t>
  </si>
  <si>
    <t>Number provisioned</t>
  </si>
  <si>
    <t>IGW dimensioning</t>
  </si>
  <si>
    <t xml:space="preserve">Version                         ……………………………………………..                   </t>
  </si>
  <si>
    <t xml:space="preserve"> </t>
  </si>
  <si>
    <t>Model Conventions</t>
  </si>
  <si>
    <t>Summary Sheets</t>
  </si>
  <si>
    <t>Input Sheets</t>
  </si>
  <si>
    <t>Calculation sheets</t>
  </si>
  <si>
    <t>Direct input into the model</t>
  </si>
  <si>
    <t>Calculation cells</t>
  </si>
  <si>
    <t>Network design parameters</t>
  </si>
  <si>
    <t>Voice minutes to erlang</t>
  </si>
  <si>
    <t>Busy days per year</t>
  </si>
  <si>
    <t>Busy day traffic as a % of years traffic</t>
  </si>
  <si>
    <t>%</t>
  </si>
  <si>
    <t>Proportion of busy day traffic in the busy hour</t>
  </si>
  <si>
    <t>Annual voice minutes to BH Erlang conversion factor</t>
  </si>
  <si>
    <t>Erlang/ Min</t>
  </si>
  <si>
    <t>Various</t>
  </si>
  <si>
    <t>OPEX category</t>
  </si>
  <si>
    <t>Subscriber numbers</t>
  </si>
  <si>
    <t>Growth factors</t>
  </si>
  <si>
    <t>Subscriber growth rate</t>
  </si>
  <si>
    <t>Working capital (= 40 days of Opex)</t>
  </si>
  <si>
    <t>Working capital as a % of marked up network costs</t>
  </si>
  <si>
    <t>Summary of mark-ups (applied sequentially)</t>
  </si>
  <si>
    <t xml:space="preserve">Overall mark-up </t>
  </si>
  <si>
    <t>Operational expenditure</t>
  </si>
  <si>
    <t>Inputs copied from other worksheets</t>
  </si>
  <si>
    <t>Output cells copied to other worksheets</t>
  </si>
  <si>
    <t>Cells</t>
  </si>
  <si>
    <t>Key results</t>
  </si>
  <si>
    <t>B1</t>
  </si>
  <si>
    <t>Sensitivity</t>
  </si>
  <si>
    <t>Variation</t>
  </si>
  <si>
    <t>B2</t>
  </si>
  <si>
    <t>Sensitivity analysis</t>
  </si>
  <si>
    <t>Value in sensitivity case</t>
  </si>
  <si>
    <t>Pre-tax WACC</t>
  </si>
  <si>
    <t>Category</t>
  </si>
  <si>
    <t>Financial</t>
  </si>
  <si>
    <t>Technical</t>
  </si>
  <si>
    <t>years</t>
  </si>
  <si>
    <t>% pa</t>
  </si>
  <si>
    <t>Key assumptions</t>
  </si>
  <si>
    <t>#</t>
  </si>
  <si>
    <t>Acronym</t>
  </si>
  <si>
    <t>Code</t>
  </si>
  <si>
    <t>Total</t>
  </si>
  <si>
    <t>Network elements</t>
  </si>
  <si>
    <t>Services</t>
  </si>
  <si>
    <t>Utilisation</t>
  </si>
  <si>
    <t>Years</t>
  </si>
  <si>
    <t>Currency</t>
  </si>
  <si>
    <t>% Annual change in purchase price: Years 2-5</t>
  </si>
  <si>
    <t>Capitalised costs of installation as a % of purchase price: Year 1</t>
  </si>
  <si>
    <t>Purchase price per unit of equipment: Year 1</t>
  </si>
  <si>
    <t>% Annual change in installation costs: Years 2-5</t>
  </si>
  <si>
    <t>Unit operating &amp; maintenance costs, Year 1</t>
  </si>
  <si>
    <t>% Annual change in operating &amp; maintenance costs: Years 2-5</t>
  </si>
  <si>
    <t xml:space="preserve">Unit equipment cost  </t>
  </si>
  <si>
    <t xml:space="preserve">Unit installation cost </t>
  </si>
  <si>
    <t>Unit equip + install cost</t>
  </si>
  <si>
    <t>TOTAL subscribers</t>
  </si>
  <si>
    <t>Name</t>
  </si>
  <si>
    <t>Unit</t>
  </si>
  <si>
    <t>Network Elements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</si>
  <si>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</si>
  <si>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</si>
  <si>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</si>
  <si>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</si>
  <si>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</si>
  <si>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</si>
  <si>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</si>
  <si>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</si>
  <si>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</si>
  <si>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</si>
  <si>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T01</t>
  </si>
  <si>
    <t>T02</t>
  </si>
  <si>
    <t>T03</t>
  </si>
  <si>
    <t>T04</t>
  </si>
  <si>
    <t>T05</t>
  </si>
  <si>
    <t>T06</t>
  </si>
  <si>
    <t>Coverage and Subscribers</t>
  </si>
  <si>
    <t>A.  Model Design</t>
  </si>
  <si>
    <t>B.  Dashboard</t>
  </si>
  <si>
    <t>C.  Masterfiles</t>
  </si>
  <si>
    <t>D.  Reconciliation</t>
  </si>
  <si>
    <t xml:space="preserve">unit cost </t>
  </si>
  <si>
    <t>E.  Graphs</t>
  </si>
  <si>
    <t xml:space="preserve">Network design </t>
  </si>
  <si>
    <t>Transmission Links</t>
  </si>
  <si>
    <t>Year 1</t>
  </si>
  <si>
    <t>Year 2</t>
  </si>
  <si>
    <t>Year 3</t>
  </si>
  <si>
    <t>Year 4</t>
  </si>
  <si>
    <t>Year 5</t>
  </si>
  <si>
    <t>-</t>
  </si>
  <si>
    <t xml:space="preserve">Traffic </t>
  </si>
  <si>
    <t>Service</t>
  </si>
  <si>
    <t>BTS - macrocell: 12 TRX 4:4:4</t>
  </si>
  <si>
    <t>Manufacturer's Design Capacity</t>
  </si>
  <si>
    <t xml:space="preserve">Network Element </t>
  </si>
  <si>
    <t>Network design capacity (design capacities, units of measurement, planning horizon and typical utilisation)</t>
  </si>
  <si>
    <t>Key</t>
  </si>
  <si>
    <t>Total busy hour erlangs</t>
  </si>
  <si>
    <t>E1</t>
  </si>
  <si>
    <t xml:space="preserve">Transmission Element </t>
  </si>
  <si>
    <t>Required capacity</t>
  </si>
  <si>
    <t>Transmission Element</t>
  </si>
  <si>
    <t>Total subscribers</t>
  </si>
  <si>
    <t>BHE factor</t>
  </si>
  <si>
    <t>BHE voice</t>
  </si>
  <si>
    <t>Driver for growth</t>
  </si>
  <si>
    <t>BHE</t>
  </si>
  <si>
    <t>Subscribers</t>
  </si>
  <si>
    <t>Minutes per hour</t>
  </si>
  <si>
    <t>minutes</t>
  </si>
  <si>
    <t>Combined utilisation</t>
  </si>
  <si>
    <t>% Growth for a given planning period</t>
  </si>
  <si>
    <t>ID</t>
  </si>
  <si>
    <t>NMS dimensioning</t>
  </si>
  <si>
    <t>NMS capacity</t>
  </si>
  <si>
    <t># NMS</t>
  </si>
  <si>
    <t>Provisioned equipment volumes</t>
  </si>
  <si>
    <t># units</t>
  </si>
  <si>
    <t>Base case</t>
  </si>
  <si>
    <t>Unit investment &amp; Opex</t>
  </si>
  <si>
    <t>Common costs</t>
  </si>
  <si>
    <t>Working capital</t>
  </si>
  <si>
    <t>CAPEX</t>
  </si>
  <si>
    <t>OPEX</t>
  </si>
  <si>
    <t>Network Element</t>
  </si>
  <si>
    <t>Economic lifetime (Years)</t>
  </si>
  <si>
    <t xml:space="preserve">Design Capacity Unit </t>
  </si>
  <si>
    <t>Forward provisioning (months)</t>
  </si>
  <si>
    <t>Equipment utilisation for operational planning</t>
  </si>
  <si>
    <t>Annual growth rate - BHE</t>
  </si>
  <si>
    <t>Annual growth rate - subs</t>
  </si>
  <si>
    <t>Cost driver</t>
  </si>
  <si>
    <t xml:space="preserve">Cost basis </t>
  </si>
  <si>
    <t>per link</t>
  </si>
  <si>
    <t>Links</t>
  </si>
  <si>
    <t>Exchange rate</t>
  </si>
  <si>
    <t># IGW</t>
  </si>
  <si>
    <t>IGW capacity</t>
  </si>
  <si>
    <t>Calculated equipment volumes</t>
  </si>
  <si>
    <t>Summary cost evolution</t>
  </si>
  <si>
    <t>Network elements (switching)</t>
  </si>
  <si>
    <t>End of list</t>
  </si>
  <si>
    <t>End</t>
  </si>
  <si>
    <t>Network costing</t>
  </si>
  <si>
    <t>Unit operating cost</t>
  </si>
  <si>
    <t>(#)</t>
  </si>
  <si>
    <t>Asset life</t>
  </si>
  <si>
    <t>Depreciation</t>
  </si>
  <si>
    <t>Price Trend          (+ or - %)</t>
  </si>
  <si>
    <t xml:space="preserve">WACC </t>
  </si>
  <si>
    <t>Units</t>
  </si>
  <si>
    <t>Total Annual Cost</t>
  </si>
  <si>
    <t>Installation cost</t>
  </si>
  <si>
    <t>Capex + Installation</t>
  </si>
  <si>
    <t>volumes</t>
  </si>
  <si>
    <t>Equipment Volumes</t>
  </si>
  <si>
    <t>unit capex</t>
  </si>
  <si>
    <t>Unit Inv + Install</t>
  </si>
  <si>
    <t>Capital inv</t>
  </si>
  <si>
    <t>total network investment</t>
  </si>
  <si>
    <t>annual capital cost</t>
  </si>
  <si>
    <t>Annual capital cost</t>
  </si>
  <si>
    <t>annualisation parameters (various)</t>
  </si>
  <si>
    <t>annual operating cost</t>
  </si>
  <si>
    <t>Annual operating cost</t>
  </si>
  <si>
    <t>total annual cost</t>
  </si>
  <si>
    <t>Deprecn + WACC</t>
  </si>
  <si>
    <t>Equipment costs (investment, installation, annual capital and operating and total annual costs) for all years</t>
  </si>
  <si>
    <t>Summary of economic costs (annual capex and opex)</t>
  </si>
  <si>
    <t>Total call attempts</t>
  </si>
  <si>
    <t>TOTAL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</si>
  <si>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</si>
  <si>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</si>
  <si>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</si>
  <si>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</si>
  <si>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</si>
  <si>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</si>
  <si>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</si>
  <si>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</si>
  <si>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</si>
  <si>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</si>
  <si>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</si>
  <si>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</si>
  <si>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IGW</t>
  </si>
  <si>
    <t>Millions</t>
  </si>
  <si>
    <t>Successful / Total call Ratio</t>
  </si>
  <si>
    <t>Non-conversation holding time (seconds)</t>
  </si>
  <si>
    <t>Average call duration (seconds)</t>
  </si>
  <si>
    <t>Voice Minutes</t>
  </si>
  <si>
    <t xml:space="preserve">Total voice minutes </t>
  </si>
  <si>
    <t>Average termination cost</t>
  </si>
  <si>
    <t>Total cost</t>
  </si>
  <si>
    <t>Retail opex</t>
  </si>
  <si>
    <t>Common opex</t>
  </si>
  <si>
    <t>Network LRIC and mark-ups by service</t>
  </si>
  <si>
    <t>Retail costs per service</t>
  </si>
  <si>
    <t>Network opex &amp; common cost mark-ups</t>
  </si>
  <si>
    <t>Retail cost mark-ups</t>
  </si>
  <si>
    <t>Retail?</t>
  </si>
  <si>
    <t>Yes</t>
  </si>
  <si>
    <t>No</t>
  </si>
  <si>
    <t>Retail mark-up</t>
  </si>
  <si>
    <t>LRIC+</t>
  </si>
  <si>
    <t>Total network minutes (taking into account holding time and unsuccessful call attempts)</t>
  </si>
  <si>
    <t xml:space="preserve">Actual equipment volumes </t>
  </si>
  <si>
    <t xml:space="preserve">Transmission network </t>
  </si>
  <si>
    <t>Economic asset life - h/w related</t>
  </si>
  <si>
    <t>Economic asset life - s/w related</t>
  </si>
  <si>
    <t>Busy days per annum</t>
  </si>
  <si>
    <t>Economic asset life - transmission</t>
  </si>
  <si>
    <t>Variance between calculated and actual</t>
  </si>
  <si>
    <t>Non-billed traffic factors</t>
  </si>
  <si>
    <t>Network equipment capex and opex</t>
  </si>
  <si>
    <t>Cost of building transmission</t>
  </si>
  <si>
    <t xml:space="preserve">Routing Factors - network elements </t>
  </si>
  <si>
    <t>Routing Factors</t>
  </si>
  <si>
    <t xml:space="preserve">Total cost split by service </t>
  </si>
  <si>
    <t>Indirect network opex</t>
  </si>
  <si>
    <t>Network management system</t>
  </si>
  <si>
    <t>IN</t>
  </si>
  <si>
    <t>Euro</t>
  </si>
  <si>
    <t>Mark up on:</t>
  </si>
  <si>
    <t>Network capex and direct opex</t>
  </si>
  <si>
    <t>Network costs</t>
  </si>
  <si>
    <t>Network and Retail costs</t>
  </si>
  <si>
    <t xml:space="preserve">Indirect Network opex </t>
  </si>
  <si>
    <t>Total Network costs</t>
  </si>
  <si>
    <t>Total Network &amp; Common costs</t>
  </si>
  <si>
    <t>Indirect Network opex as a % of annual network costs</t>
  </si>
  <si>
    <t>Common costs (allocated to Network)</t>
  </si>
  <si>
    <t xml:space="preserve">Common cost as a % of Total Network costs </t>
  </si>
  <si>
    <t xml:space="preserve">Total Network costs </t>
  </si>
  <si>
    <t>Retail costs</t>
  </si>
  <si>
    <t>Common costs (allocated to Retail)</t>
  </si>
  <si>
    <t>Mark-ups to recover retail opex and common costs</t>
  </si>
  <si>
    <t xml:space="preserve">Mark-ups to recover indirect network opex and common costs </t>
  </si>
  <si>
    <t>Network costs marked up for indirect opex and common costs</t>
  </si>
  <si>
    <t>Total Retail costs (opex + common)</t>
  </si>
  <si>
    <t>Retail mark-up on Network costs</t>
  </si>
  <si>
    <t xml:space="preserve"> Operational expenditure by category </t>
  </si>
  <si>
    <t xml:space="preserve">International </t>
  </si>
  <si>
    <t>Local</t>
  </si>
  <si>
    <t>Euro cents</t>
  </si>
  <si>
    <t>Actual equipment volumes</t>
  </si>
  <si>
    <t>IN dimensioning</t>
  </si>
  <si>
    <t>Subs / IN</t>
  </si>
  <si>
    <t># IN</t>
  </si>
  <si>
    <t>IN capacity</t>
  </si>
  <si>
    <t>LRIC + mark-up</t>
  </si>
  <si>
    <t xml:space="preserve">Billed traffic </t>
  </si>
  <si>
    <t>Sensitivity cases</t>
  </si>
  <si>
    <t>Sensitivity case number:</t>
  </si>
  <si>
    <t>Insert desired Sensitivity Case number here:</t>
  </si>
  <si>
    <t>B3</t>
  </si>
  <si>
    <t>Case:</t>
  </si>
  <si>
    <t>No. of equipment deployed at 1 January (adjusted for equipment capacities)</t>
  </si>
  <si>
    <t>Efficient operator</t>
  </si>
  <si>
    <t>Districts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</si>
  <si>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</si>
  <si>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</si>
  <si>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</si>
  <si>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</si>
  <si>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</si>
  <si>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</si>
  <si>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</si>
  <si>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</si>
  <si>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</si>
  <si>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</si>
  <si>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</si>
  <si>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</si>
  <si>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</si>
  <si>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</si>
  <si>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</si>
  <si>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</si>
  <si>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</si>
  <si>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</si>
  <si>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</si>
  <si>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</si>
  <si>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</si>
  <si>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</si>
  <si>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</si>
  <si>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</si>
  <si>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</si>
  <si>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</si>
  <si>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</si>
  <si>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</si>
  <si>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</si>
  <si>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</si>
  <si>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</si>
  <si>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</si>
  <si>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</si>
  <si>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</si>
  <si>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</si>
  <si>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Chişinǎu</t>
  </si>
  <si>
    <t>Bǎlţi</t>
  </si>
  <si>
    <t>Anenii Noi</t>
  </si>
  <si>
    <t>Basarabeasca</t>
  </si>
  <si>
    <t>Briceni</t>
  </si>
  <si>
    <t>Cahul</t>
  </si>
  <si>
    <t>Cantemir</t>
  </si>
  <si>
    <t>Cǎlǎraşi</t>
  </si>
  <si>
    <t>Cǎuşeni</t>
  </si>
  <si>
    <t>Cimişlia</t>
  </si>
  <si>
    <t>Criuleni</t>
  </si>
  <si>
    <t>Donduşeni</t>
  </si>
  <si>
    <t>Drochia</t>
  </si>
  <si>
    <t>Dubusǎri</t>
  </si>
  <si>
    <t>Edineţ</t>
  </si>
  <si>
    <t>Fǎleşti</t>
  </si>
  <si>
    <t>Floreşti</t>
  </si>
  <si>
    <t>Glodeni</t>
  </si>
  <si>
    <t>Hinceşti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</si>
  <si>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</si>
  <si>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</si>
  <si>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</si>
  <si>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</si>
  <si>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</si>
  <si>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</si>
  <si>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</si>
  <si>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</si>
  <si>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</si>
  <si>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Strǎşeni</t>
  </si>
  <si>
    <t>Şoldăneşti</t>
  </si>
  <si>
    <t>Ştefan Vodă</t>
  </si>
  <si>
    <t>Taraclia</t>
  </si>
  <si>
    <t>Teleneşti</t>
  </si>
  <si>
    <t>Ungheni</t>
  </si>
  <si>
    <t>Găgăuzia</t>
  </si>
  <si>
    <t>Population</t>
  </si>
  <si>
    <t>'000s</t>
  </si>
  <si>
    <t>Data from national statistics</t>
  </si>
  <si>
    <t>Operational support system</t>
  </si>
  <si>
    <t>OSS</t>
  </si>
  <si>
    <t>Retail Billing System</t>
  </si>
  <si>
    <t>Interconnection Billing System</t>
  </si>
  <si>
    <t>RBIL</t>
  </si>
  <si>
    <t>IBIL</t>
  </si>
  <si>
    <t>T07</t>
  </si>
  <si>
    <t>Moldova Lei</t>
  </si>
  <si>
    <t>Market shares</t>
  </si>
  <si>
    <t xml:space="preserve">Subscribers in current sensitivity case </t>
  </si>
  <si>
    <t>Billed traffic as used in the current sensitivity case</t>
  </si>
  <si>
    <t>Total network volumes (in current sensitivity case)</t>
  </si>
  <si>
    <t>OSS dimensioning</t>
  </si>
  <si>
    <t>OSS capacity</t>
  </si>
  <si>
    <t>RBIL dimensioning</t>
  </si>
  <si>
    <t>RBIL capacity</t>
  </si>
  <si>
    <t>IBIL dimensioning</t>
  </si>
  <si>
    <t># RBIL</t>
  </si>
  <si>
    <t># IBIL</t>
  </si>
  <si>
    <t>Subs/OSS</t>
  </si>
  <si>
    <t># OSS</t>
  </si>
  <si>
    <t>MEO</t>
  </si>
  <si>
    <t>Busy day traffic in the busy hour - voice</t>
  </si>
  <si>
    <t>Network design parameters as used in the current sensitivity case</t>
  </si>
  <si>
    <t>STM-1</t>
  </si>
  <si>
    <t>STM-4</t>
  </si>
  <si>
    <t>STM-16</t>
  </si>
  <si>
    <t xml:space="preserve">Fibre </t>
  </si>
  <si>
    <t>Copper</t>
  </si>
  <si>
    <t>Transmission links</t>
  </si>
  <si>
    <t>Routing tables -switching</t>
  </si>
  <si>
    <t>Routing factors used in current sensitivity case</t>
  </si>
  <si>
    <t>Routing tables -transmission</t>
  </si>
  <si>
    <t>Provisioned capacity - E1s</t>
  </si>
  <si>
    <t># of E1s</t>
  </si>
  <si>
    <t>Number of E1s per link</t>
  </si>
  <si>
    <t>Fibre cost - Per  E1</t>
  </si>
  <si>
    <t>Fibre cost - Per STM -1</t>
  </si>
  <si>
    <t>Bottom-Up Fixed LRIC Model</t>
  </si>
</sst>
</file>

<file path=xl/styles.xml><?xml version="1.0" encoding="utf-8"?>
<styleSheet xmlns="http://schemas.openxmlformats.org/spreadsheetml/2006/main">
  <numFmts count="5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\£#,##0.00_);\(\£#,##0.00\);\ \-\-\-_)"/>
    <numFmt numFmtId="174" formatCode="#,##0_);\(#,##0\);\ \-\-\-_)"/>
    <numFmt numFmtId="175" formatCode="General_)"/>
    <numFmt numFmtId="176" formatCode="#,##0.0_x_);\(#,##0.0_x\);\ \-\-\-_)"/>
    <numFmt numFmtId="177" formatCode="#,##0.00_);\(#,##0.00\);\ \-\-\-_)"/>
    <numFmt numFmtId="178" formatCode="#,##0.0\x_)_%;\(#,##0.0\x\)_%;\ &quot;NM&quot;_x_%_)"/>
    <numFmt numFmtId="179" formatCode="&quot;Case&quot;\ 0"/>
    <numFmt numFmtId="180" formatCode=";;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.0_x_%_);\(#,##0.0\)_x_%;\ &quot;NM&quot;_x_%_)"/>
    <numFmt numFmtId="184" formatCode="0%;[Red]\-0%"/>
    <numFmt numFmtId="185" formatCode="#,##0.0_);\(#,##0.0\);\ \-\-\-_)"/>
    <numFmt numFmtId="186" formatCode="0.00%_);\(0.00%\);\ \-\-\-_)"/>
    <numFmt numFmtId="187" formatCode="0.000%_);\(0.000%\);\ \-\-\-_)"/>
    <numFmt numFmtId="188" formatCode="0.00%_x_);\(0.00%\)_x;\ &quot;NM&quot;_x_%_)"/>
    <numFmt numFmtId="189" formatCode="0.00%_x_);\(0.00%\)_x;\ \-\-\-_x_%_)"/>
    <numFmt numFmtId="190" formatCode="\£#,##0.00_);\(\£#,##0.00\)"/>
    <numFmt numFmtId="191" formatCode="\£#,##0_);\(\£#,##0\);\ \-\-\-_)"/>
    <numFmt numFmtId="192" formatCode="\£#,##0.00_x_%_);\(\£#,##0.00\)_x_%;\ \-\-\-_x_%_)"/>
    <numFmt numFmtId="193" formatCode="#,##0.00_x_%_);\(#,##0.00\)_x_%;\ \-\-\-_x_%_)"/>
    <numFmt numFmtId="194" formatCode="0.00%;[Red]\-0.00%"/>
    <numFmt numFmtId="195" formatCode="#,##0,\ ;[Red]\(#,##0,\);\-"/>
    <numFmt numFmtId="196" formatCode="0\ \x"/>
    <numFmt numFmtId="197" formatCode="0.0"/>
    <numFmt numFmtId="198" formatCode="0.E+00"/>
    <numFmt numFmtId="199" formatCode="_-* #,##0_-;\-* #,##0_-;_-* &quot;-&quot;??_-;_-@_-"/>
    <numFmt numFmtId="200" formatCode="0.00.E+00"/>
    <numFmt numFmtId="201" formatCode="0.0%"/>
    <numFmt numFmtId="202" formatCode="#,##0_ ;\-#,##0\ "/>
    <numFmt numFmtId="203" formatCode="#,##0.0"/>
    <numFmt numFmtId="204" formatCode="#,##0.000"/>
    <numFmt numFmtId="205" formatCode="#,##0.0_ ;\-#,##0.0\ "/>
    <numFmt numFmtId="206" formatCode="0.0000000000000000"/>
    <numFmt numFmtId="207" formatCode="0.000"/>
    <numFmt numFmtId="208" formatCode="_(* #,##0_);_(* \(#,##0\);_(* &quot;-&quot;??_);_(@_)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1"/>
      <color indexed="12"/>
      <name val="MS Serif"/>
      <family val="1"/>
    </font>
    <font>
      <sz val="11"/>
      <color indexed="12"/>
      <name val="MS Serif"/>
      <family val="1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Helvetica"/>
      <family val="2"/>
    </font>
    <font>
      <sz val="12"/>
      <name val="Tms Rmn"/>
      <family val="0"/>
    </font>
    <font>
      <sz val="7"/>
      <name val="Palatino"/>
      <family val="1"/>
    </font>
    <font>
      <sz val="8"/>
      <color indexed="17"/>
      <name val="Arial"/>
      <family val="2"/>
    </font>
    <font>
      <sz val="6"/>
      <color indexed="16"/>
      <name val="Palatino"/>
      <family val="1"/>
    </font>
    <font>
      <b/>
      <i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Verdana"/>
      <family val="2"/>
    </font>
    <font>
      <sz val="8"/>
      <name val="Helv"/>
      <family val="0"/>
    </font>
    <font>
      <sz val="10"/>
      <color indexed="12"/>
      <name val="Times New Roman"/>
      <family val="1"/>
    </font>
    <font>
      <sz val="11"/>
      <color indexed="20"/>
      <name val="Arial"/>
      <family val="2"/>
    </font>
    <font>
      <sz val="10"/>
      <color indexed="18"/>
      <name val="Helv"/>
      <family val="0"/>
    </font>
    <font>
      <b/>
      <sz val="18"/>
      <name val="Times New Roman"/>
      <family val="1"/>
    </font>
    <font>
      <i/>
      <sz val="10"/>
      <color indexed="16"/>
      <name val="Times New Roman"/>
      <family val="1"/>
    </font>
    <font>
      <b/>
      <i/>
      <sz val="16"/>
      <name val="Helv"/>
      <family val="0"/>
    </font>
    <font>
      <sz val="8"/>
      <color indexed="10"/>
      <name val="Times New Roman"/>
      <family val="1"/>
    </font>
    <font>
      <i/>
      <sz val="9"/>
      <color indexed="12"/>
      <name val="Helv"/>
      <family val="0"/>
    </font>
    <font>
      <sz val="10"/>
      <color indexed="16"/>
      <name val="Helvetica-Black"/>
      <family val="0"/>
    </font>
    <font>
      <sz val="10"/>
      <name val="Arial Narrow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Times New Roman"/>
      <family val="1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8"/>
      <name val="Helv"/>
      <family val="0"/>
    </font>
    <font>
      <b/>
      <sz val="7"/>
      <color indexed="12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0"/>
      <color indexed="13"/>
      <name val="Arial"/>
      <family val="2"/>
    </font>
    <font>
      <sz val="9"/>
      <color indexed="10"/>
      <name val="Arial"/>
      <family val="2"/>
    </font>
    <font>
      <sz val="10"/>
      <color indexed="6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24"/>
      <color indexed="10"/>
      <name val="Arial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5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double"/>
      <right/>
      <top/>
      <bottom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 style="medium"/>
      <top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4" fillId="8" borderId="1">
      <alignment horizontal="center" vertical="center"/>
      <protection/>
    </xf>
    <xf numFmtId="0" fontId="4" fillId="20" borderId="0">
      <alignment/>
      <protection/>
    </xf>
    <xf numFmtId="0" fontId="5" fillId="0" borderId="2" applyNumberFormat="0" applyFill="0" applyAlignment="0" applyProtection="0"/>
    <xf numFmtId="0" fontId="6" fillId="21" borderId="3">
      <alignment horizontal="center" vertical="center"/>
      <protection locked="0"/>
    </xf>
    <xf numFmtId="0" fontId="7" fillId="22" borderId="0">
      <alignment/>
      <protection/>
    </xf>
    <xf numFmtId="0" fontId="95" fillId="3" borderId="0" applyNumberFormat="0" applyBorder="0" applyAlignment="0" applyProtection="0"/>
    <xf numFmtId="173" fontId="8" fillId="0" borderId="0" applyNumberFormat="0" applyFill="0" applyBorder="0" applyAlignment="0" applyProtection="0"/>
    <xf numFmtId="0" fontId="9" fillId="23" borderId="1">
      <alignment horizontal="center" vertical="center"/>
      <protection/>
    </xf>
    <xf numFmtId="0" fontId="98" fillId="24" borderId="4" applyNumberFormat="0" applyAlignment="0" applyProtection="0"/>
    <xf numFmtId="0" fontId="10" fillId="25" borderId="5" applyNumberFormat="0" applyProtection="0">
      <alignment horizontal="center" vertical="center" wrapText="1"/>
    </xf>
    <xf numFmtId="0" fontId="10" fillId="25" borderId="0" applyNumberFormat="0" applyBorder="0" applyProtection="0">
      <alignment horizontal="centerContinuous" vertical="center"/>
    </xf>
    <xf numFmtId="0" fontId="11" fillId="0" borderId="6" applyNumberFormat="0" applyFont="0" applyFill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3">
      <alignment/>
      <protection/>
    </xf>
    <xf numFmtId="15" fontId="12" fillId="0" borderId="0" applyFont="0" applyFill="0" applyBorder="0" applyAlignment="0" applyProtection="0"/>
    <xf numFmtId="177" fontId="2" fillId="0" borderId="0" applyFont="0" applyFill="0" applyBorder="0" applyAlignment="0" applyProtection="0"/>
    <xf numFmtId="15" fontId="12" fillId="0" borderId="0">
      <alignment/>
      <protection locked="0"/>
    </xf>
    <xf numFmtId="178" fontId="2" fillId="0" borderId="7" applyNumberFormat="0" applyFont="0" applyFill="0" applyAlignment="0" applyProtection="0"/>
    <xf numFmtId="0" fontId="13" fillId="0" borderId="0" applyNumberFormat="0" applyFont="0" applyFill="0" applyBorder="0" applyAlignment="0">
      <protection locked="0"/>
    </xf>
    <xf numFmtId="0" fontId="100" fillId="0" borderId="0" applyNumberFormat="0" applyFill="0" applyBorder="0" applyAlignment="0" applyProtection="0"/>
    <xf numFmtId="174" fontId="2" fillId="0" borderId="0">
      <alignment/>
      <protection/>
    </xf>
    <xf numFmtId="0" fontId="14" fillId="0" borderId="0" applyFill="0" applyBorder="0" applyProtection="0">
      <alignment horizontal="left"/>
    </xf>
    <xf numFmtId="0" fontId="4" fillId="20" borderId="1">
      <alignment horizontal="center" vertical="center"/>
      <protection/>
    </xf>
    <xf numFmtId="0" fontId="4" fillId="26" borderId="0">
      <alignment/>
      <protection/>
    </xf>
    <xf numFmtId="0" fontId="94" fillId="4" borderId="0" applyNumberFormat="0" applyBorder="0" applyAlignment="0" applyProtection="0"/>
    <xf numFmtId="0" fontId="15" fillId="0" borderId="0" applyNumberFormat="0" applyFill="0" applyBorder="0" applyAlignment="0" applyProtection="0"/>
    <xf numFmtId="38" fontId="2" fillId="20" borderId="0" applyNumberFormat="0" applyBorder="0" applyAlignment="0" applyProtection="0"/>
    <xf numFmtId="179" fontId="2" fillId="0" borderId="0" applyFont="0" applyFill="0" applyBorder="0" applyAlignment="0" applyProtection="0"/>
    <xf numFmtId="0" fontId="16" fillId="0" borderId="0" applyProtection="0">
      <alignment horizontal="right"/>
    </xf>
    <xf numFmtId="1" fontId="17" fillId="1" borderId="0" applyAlignment="0" applyProtection="0"/>
    <xf numFmtId="0" fontId="18" fillId="0" borderId="0" applyNumberFormat="0" applyFill="0" applyBorder="0" applyAlignment="0" applyProtection="0"/>
    <xf numFmtId="175" fontId="19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0" fontId="21" fillId="0" borderId="0">
      <alignment/>
      <protection/>
    </xf>
    <xf numFmtId="0" fontId="5" fillId="0" borderId="0" applyNumberFormat="0" applyFill="0" applyBorder="0" applyAlignment="0" applyProtection="0"/>
    <xf numFmtId="0" fontId="22" fillId="0" borderId="2" applyNumberFormat="0" applyFill="0" applyAlignment="0" applyProtection="0"/>
    <xf numFmtId="10" fontId="2" fillId="27" borderId="3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>
      <alignment horizontal="center"/>
      <protection/>
    </xf>
    <xf numFmtId="0" fontId="2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25" fillId="0" borderId="0" applyNumberFormat="0" applyFill="0" applyBorder="0" applyProtection="0">
      <alignment horizontal="left" vertical="center"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21" fillId="0" borderId="0">
      <alignment/>
      <protection/>
    </xf>
    <xf numFmtId="183" fontId="21" fillId="0" borderId="0">
      <alignment horizontal="right"/>
      <protection/>
    </xf>
    <xf numFmtId="0" fontId="26" fillId="0" borderId="0" applyNumberFormat="0" applyFill="0" applyBorder="0" applyProtection="0">
      <alignment horizontal="left"/>
    </xf>
    <xf numFmtId="0" fontId="96" fillId="21" borderId="0" applyNumberFormat="0" applyBorder="0" applyAlignment="0" applyProtection="0"/>
    <xf numFmtId="174" fontId="27" fillId="0" borderId="0">
      <alignment/>
      <protection/>
    </xf>
    <xf numFmtId="0" fontId="52" fillId="0" borderId="0">
      <alignment/>
      <protection/>
    </xf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0" fillId="0" borderId="0">
      <alignment horizontal="left"/>
      <protection/>
    </xf>
    <xf numFmtId="184" fontId="28" fillId="0" borderId="0" applyNumberFormat="0" applyFill="0" applyBorder="0" applyAlignment="0" applyProtection="0"/>
    <xf numFmtId="0" fontId="9" fillId="23" borderId="0">
      <alignment horizontal="center" vertical="center"/>
      <protection/>
    </xf>
    <xf numFmtId="38" fontId="11" fillId="0" borderId="9" applyFont="0" applyFill="0" applyBorder="0" applyAlignment="0" applyProtection="0"/>
    <xf numFmtId="185" fontId="21" fillId="0" borderId="0">
      <alignment/>
      <protection/>
    </xf>
    <xf numFmtId="0" fontId="29" fillId="0" borderId="0" applyNumberFormat="0" applyAlignment="0">
      <protection/>
    </xf>
    <xf numFmtId="0" fontId="11" fillId="28" borderId="10" applyNumberFormat="0" applyFont="0" applyBorder="0" applyAlignment="0" applyProtection="0"/>
    <xf numFmtId="1" fontId="30" fillId="0" borderId="0" applyProtection="0">
      <alignment horizontal="right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2" fillId="0" borderId="0">
      <alignment/>
      <protection/>
    </xf>
    <xf numFmtId="174" fontId="2" fillId="0" borderId="0">
      <alignment/>
      <protection/>
    </xf>
    <xf numFmtId="187" fontId="2" fillId="0" borderId="0">
      <alignment/>
      <protection/>
    </xf>
    <xf numFmtId="188" fontId="2" fillId="0" borderId="0">
      <alignment/>
      <protection/>
    </xf>
    <xf numFmtId="189" fontId="2" fillId="0" borderId="0">
      <alignment/>
      <protection/>
    </xf>
    <xf numFmtId="184" fontId="11" fillId="0" borderId="0" applyFont="0" applyFill="0" applyBorder="0" applyAlignment="0" applyProtection="0"/>
    <xf numFmtId="190" fontId="31" fillId="0" borderId="0" applyFont="0" applyFill="0" applyBorder="0" applyAlignment="0" applyProtection="0"/>
    <xf numFmtId="191" fontId="2" fillId="0" borderId="0">
      <alignment/>
      <protection/>
    </xf>
    <xf numFmtId="174" fontId="2" fillId="0" borderId="0">
      <alignment/>
      <protection/>
    </xf>
    <xf numFmtId="173" fontId="2" fillId="0" borderId="0">
      <alignment/>
      <protection/>
    </xf>
    <xf numFmtId="177" fontId="2" fillId="0" borderId="0">
      <alignment/>
      <protection/>
    </xf>
    <xf numFmtId="192" fontId="2" fillId="0" borderId="0">
      <alignment/>
      <protection/>
    </xf>
    <xf numFmtId="193" fontId="2" fillId="0" borderId="0">
      <alignment/>
      <protection/>
    </xf>
    <xf numFmtId="174" fontId="32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4" fillId="23" borderId="0">
      <alignment/>
      <protection/>
    </xf>
    <xf numFmtId="0" fontId="11" fillId="0" borderId="11" applyNumberFormat="0" applyFont="0" applyFill="0" applyAlignment="0" applyProtection="0"/>
    <xf numFmtId="0" fontId="10" fillId="25" borderId="12" applyNumberFormat="0" applyBorder="0" applyProtection="0">
      <alignment horizontal="left" wrapText="1"/>
    </xf>
    <xf numFmtId="0" fontId="10" fillId="25" borderId="0" applyNumberFormat="0" applyBorder="0" applyProtection="0">
      <alignment horizontal="left"/>
    </xf>
    <xf numFmtId="0" fontId="11" fillId="0" borderId="13" applyNumberFormat="0" applyFont="0" applyFill="0" applyAlignment="0" applyProtection="0"/>
    <xf numFmtId="0" fontId="34" fillId="23" borderId="0">
      <alignment horizontal="center" vertical="center"/>
      <protection/>
    </xf>
    <xf numFmtId="0" fontId="35" fillId="0" borderId="0" applyNumberFormat="0" applyFill="0" applyBorder="0" applyProtection="0">
      <alignment horizontal="left" vertical="center"/>
    </xf>
    <xf numFmtId="0" fontId="13" fillId="20" borderId="3" applyNumberFormat="0" applyFont="0" applyBorder="0" applyAlignment="0" applyProtection="0"/>
    <xf numFmtId="40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4" fillId="23" borderId="0">
      <alignment/>
      <protection/>
    </xf>
    <xf numFmtId="0" fontId="9" fillId="23" borderId="0">
      <alignment horizontal="left" vertical="center"/>
      <protection/>
    </xf>
    <xf numFmtId="0" fontId="36" fillId="0" borderId="0">
      <alignment/>
      <protection/>
    </xf>
    <xf numFmtId="0" fontId="3" fillId="0" borderId="0">
      <alignment/>
      <protection/>
    </xf>
    <xf numFmtId="0" fontId="37" fillId="0" borderId="0" applyBorder="0" applyProtection="0">
      <alignment vertical="center"/>
    </xf>
    <xf numFmtId="178" fontId="2" fillId="0" borderId="10" applyBorder="0" applyProtection="0">
      <alignment horizontal="right" vertical="center"/>
    </xf>
    <xf numFmtId="0" fontId="38" fillId="29" borderId="0" applyBorder="0" applyProtection="0">
      <alignment horizontal="centerContinuous" vertical="center"/>
    </xf>
    <xf numFmtId="0" fontId="38" fillId="30" borderId="10" applyBorder="0" applyProtection="0">
      <alignment horizontal="centerContinuous" vertical="center"/>
    </xf>
    <xf numFmtId="0" fontId="4" fillId="20" borderId="1">
      <alignment horizontal="left" vertical="center"/>
      <protection/>
    </xf>
    <xf numFmtId="0" fontId="4" fillId="26" borderId="0">
      <alignment/>
      <protection/>
    </xf>
    <xf numFmtId="0" fontId="39" fillId="0" borderId="0" applyFill="0" applyBorder="0" applyProtection="0">
      <alignment horizontal="left"/>
    </xf>
    <xf numFmtId="0" fontId="14" fillId="0" borderId="14" applyFill="0" applyBorder="0" applyProtection="0">
      <alignment horizontal="left" vertical="top"/>
    </xf>
    <xf numFmtId="195" fontId="0" fillId="0" borderId="0">
      <alignment/>
      <protection/>
    </xf>
    <xf numFmtId="0" fontId="40" fillId="0" borderId="0">
      <alignment/>
      <protection/>
    </xf>
    <xf numFmtId="0" fontId="10" fillId="25" borderId="5" applyNumberFormat="0" applyProtection="0">
      <alignment horizontal="left" vertical="center"/>
    </xf>
    <xf numFmtId="0" fontId="4" fillId="31" borderId="1">
      <alignment horizontal="left" vertical="center"/>
      <protection/>
    </xf>
    <xf numFmtId="175" fontId="41" fillId="0" borderId="0">
      <alignment horizontal="left"/>
      <protection locked="0"/>
    </xf>
    <xf numFmtId="0" fontId="99" fillId="0" borderId="0" applyNumberFormat="0" applyFill="0" applyBorder="0" applyAlignment="0" applyProtection="0"/>
    <xf numFmtId="0" fontId="11" fillId="25" borderId="0" applyNumberFormat="0" applyBorder="0" applyProtection="0">
      <alignment horizontal="left"/>
    </xf>
    <xf numFmtId="196" fontId="2" fillId="0" borderId="10" applyBorder="0" applyProtection="0">
      <alignment horizontal="right"/>
    </xf>
    <xf numFmtId="0" fontId="4" fillId="5" borderId="3">
      <alignment horizontal="center" vertical="center"/>
      <protection/>
    </xf>
    <xf numFmtId="0" fontId="42" fillId="0" borderId="0">
      <alignment vertical="center"/>
      <protection/>
    </xf>
  </cellStyleXfs>
  <cellXfs count="711">
    <xf numFmtId="0" fontId="0" fillId="0" borderId="0" xfId="0" applyAlignment="1">
      <alignment/>
    </xf>
    <xf numFmtId="0" fontId="0" fillId="23" borderId="0" xfId="0" applyFill="1" applyAlignment="1">
      <alignment/>
    </xf>
    <xf numFmtId="0" fontId="47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left"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45" fillId="23" borderId="0" xfId="96" applyFont="1" applyFill="1" applyAlignment="1">
      <alignment/>
    </xf>
    <xf numFmtId="0" fontId="0" fillId="23" borderId="0" xfId="96" applyFont="1" applyFill="1" applyAlignment="1">
      <alignment/>
    </xf>
    <xf numFmtId="0" fontId="45" fillId="23" borderId="0" xfId="96" applyFont="1" applyFill="1" applyAlignment="1">
      <alignment/>
    </xf>
    <xf numFmtId="0" fontId="0" fillId="23" borderId="3" xfId="0" applyFill="1" applyBorder="1" applyAlignment="1">
      <alignment/>
    </xf>
    <xf numFmtId="0" fontId="49" fillId="20" borderId="15" xfId="95" applyFont="1" applyFill="1" applyBorder="1" applyAlignment="1">
      <alignment horizontal="left"/>
      <protection/>
    </xf>
    <xf numFmtId="198" fontId="0" fillId="20" borderId="3" xfId="108" applyNumberFormat="1" applyFont="1" applyFill="1" applyBorder="1" applyAlignment="1">
      <alignment horizontal="center"/>
    </xf>
    <xf numFmtId="0" fontId="0" fillId="20" borderId="3" xfId="95" applyFont="1" applyFill="1" applyBorder="1" applyAlignment="1">
      <alignment horizontal="left" wrapText="1"/>
      <protection/>
    </xf>
    <xf numFmtId="0" fontId="0" fillId="20" borderId="15" xfId="95" applyFont="1" applyFill="1" applyBorder="1" applyAlignment="1">
      <alignment horizontal="left" wrapText="1"/>
      <protection/>
    </xf>
    <xf numFmtId="0" fontId="0" fillId="20" borderId="3" xfId="96" applyFont="1" applyFill="1" applyBorder="1" applyAlignment="1">
      <alignment/>
    </xf>
    <xf numFmtId="0" fontId="0" fillId="20" borderId="3" xfId="95" applyFont="1" applyFill="1" applyBorder="1" applyAlignment="1">
      <alignment horizontal="left"/>
      <protection/>
    </xf>
    <xf numFmtId="0" fontId="49" fillId="20" borderId="3" xfId="95" applyFont="1" applyFill="1" applyBorder="1" applyAlignment="1">
      <alignment horizontal="left" wrapText="1"/>
      <protection/>
    </xf>
    <xf numFmtId="0" fontId="49" fillId="20" borderId="3" xfId="95" applyFont="1" applyFill="1" applyBorder="1" applyAlignment="1">
      <alignment horizontal="center" wrapText="1"/>
      <protection/>
    </xf>
    <xf numFmtId="0" fontId="49" fillId="20" borderId="3" xfId="99" applyNumberFormat="1" applyFont="1" applyFill="1" applyBorder="1" applyAlignment="1">
      <alignment horizontal="center"/>
      <protection/>
    </xf>
    <xf numFmtId="0" fontId="47" fillId="23" borderId="0" xfId="96" applyFont="1" applyFill="1" applyAlignment="1">
      <alignment/>
    </xf>
    <xf numFmtId="0" fontId="43" fillId="23" borderId="0" xfId="96" applyFont="1" applyFill="1" applyAlignment="1">
      <alignment/>
    </xf>
    <xf numFmtId="0" fontId="47" fillId="23" borderId="0" xfId="96" applyFont="1" applyFill="1" applyAlignment="1">
      <alignment horizontal="left"/>
    </xf>
    <xf numFmtId="0" fontId="0" fillId="23" borderId="0" xfId="96" applyFont="1" applyFill="1" applyAlignment="1">
      <alignment horizontal="center"/>
    </xf>
    <xf numFmtId="0" fontId="43" fillId="23" borderId="0" xfId="96" applyFont="1" applyFill="1" applyAlignment="1">
      <alignment horizontal="center"/>
    </xf>
    <xf numFmtId="0" fontId="43" fillId="23" borderId="0" xfId="96" applyFont="1" applyFill="1" applyAlignment="1">
      <alignment horizontal="left"/>
    </xf>
    <xf numFmtId="0" fontId="49" fillId="23" borderId="0" xfId="96" applyFont="1" applyFill="1" applyAlignment="1">
      <alignment horizontal="left"/>
    </xf>
    <xf numFmtId="3" fontId="48" fillId="23" borderId="0" xfId="96" applyNumberFormat="1" applyFont="1" applyFill="1" applyBorder="1" applyAlignment="1">
      <alignment horizontal="center"/>
    </xf>
    <xf numFmtId="0" fontId="50" fillId="23" borderId="0" xfId="96" applyFont="1" applyFill="1" applyBorder="1" applyAlignment="1">
      <alignment/>
    </xf>
    <xf numFmtId="0" fontId="51" fillId="23" borderId="0" xfId="95" applyFont="1" applyFill="1" applyBorder="1" applyAlignment="1">
      <alignment horizontal="left"/>
      <protection/>
    </xf>
    <xf numFmtId="0" fontId="50" fillId="23" borderId="0" xfId="96" applyFont="1" applyFill="1" applyBorder="1" applyAlignment="1">
      <alignment horizontal="center"/>
    </xf>
    <xf numFmtId="0" fontId="50" fillId="23" borderId="0" xfId="96" applyFont="1" applyFill="1" applyBorder="1" applyAlignment="1">
      <alignment horizontal="left"/>
    </xf>
    <xf numFmtId="0" fontId="53" fillId="23" borderId="0" xfId="99" applyFont="1" applyFill="1" applyBorder="1" applyAlignment="1">
      <alignment horizontal="left"/>
      <protection/>
    </xf>
    <xf numFmtId="0" fontId="49" fillId="23" borderId="0" xfId="95" applyFont="1" applyFill="1" applyAlignment="1">
      <alignment horizontal="left"/>
      <protection/>
    </xf>
    <xf numFmtId="0" fontId="54" fillId="23" borderId="0" xfId="99" applyFont="1" applyFill="1" applyAlignment="1">
      <alignment horizontal="left"/>
      <protection/>
    </xf>
    <xf numFmtId="199" fontId="0" fillId="23" borderId="0" xfId="51" applyNumberFormat="1" applyFont="1" applyFill="1" applyAlignment="1" applyProtection="1">
      <alignment/>
      <protection locked="0"/>
    </xf>
    <xf numFmtId="0" fontId="0" fillId="23" borderId="0" xfId="95" applyFont="1" applyFill="1">
      <alignment/>
      <protection/>
    </xf>
    <xf numFmtId="0" fontId="0" fillId="23" borderId="3" xfId="95" applyFont="1" applyFill="1" applyBorder="1" applyAlignment="1">
      <alignment horizontal="left" wrapText="1"/>
      <protection/>
    </xf>
    <xf numFmtId="0" fontId="55" fillId="23" borderId="0" xfId="95" applyFont="1" applyFill="1" applyBorder="1" applyAlignment="1">
      <alignment horizontal="left"/>
      <protection/>
    </xf>
    <xf numFmtId="0" fontId="0" fillId="23" borderId="15" xfId="95" applyFont="1" applyFill="1" applyBorder="1" applyAlignment="1">
      <alignment horizontal="left" wrapText="1"/>
      <protection/>
    </xf>
    <xf numFmtId="10" fontId="0" fillId="23" borderId="0" xfId="108" applyNumberFormat="1" applyFont="1" applyFill="1" applyAlignment="1" applyProtection="1">
      <alignment/>
      <protection locked="0"/>
    </xf>
    <xf numFmtId="0" fontId="0" fillId="23" borderId="3" xfId="96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199" fontId="0" fillId="23" borderId="0" xfId="51" applyNumberFormat="1" applyFont="1" applyFill="1" applyBorder="1" applyAlignment="1">
      <alignment horizontal="left"/>
    </xf>
    <xf numFmtId="0" fontId="43" fillId="23" borderId="0" xfId="96" applyFont="1" applyFill="1" applyBorder="1" applyAlignment="1">
      <alignment/>
    </xf>
    <xf numFmtId="0" fontId="0" fillId="23" borderId="0" xfId="95" applyFont="1" applyFill="1" applyBorder="1" applyAlignment="1">
      <alignment horizontal="left"/>
      <protection/>
    </xf>
    <xf numFmtId="198" fontId="0" fillId="23" borderId="0" xfId="108" applyNumberFormat="1" applyFont="1" applyFill="1" applyBorder="1" applyAlignment="1">
      <alignment horizontal="center"/>
    </xf>
    <xf numFmtId="0" fontId="0" fillId="23" borderId="0" xfId="95" applyFont="1" applyFill="1" applyBorder="1">
      <alignment/>
      <protection/>
    </xf>
    <xf numFmtId="0" fontId="0" fillId="23" borderId="0" xfId="96" applyFont="1" applyFill="1" applyBorder="1" applyAlignment="1">
      <alignment/>
    </xf>
    <xf numFmtId="200" fontId="0" fillId="23" borderId="0" xfId="51" applyNumberFormat="1" applyFont="1" applyFill="1" applyBorder="1" applyAlignment="1">
      <alignment horizontal="center"/>
    </xf>
    <xf numFmtId="0" fontId="0" fillId="23" borderId="0" xfId="95" applyFont="1" applyFill="1" applyBorder="1" applyAlignment="1">
      <alignment horizontal="center"/>
      <protection/>
    </xf>
    <xf numFmtId="0" fontId="0" fillId="23" borderId="0" xfId="95" applyFont="1" applyFill="1" applyBorder="1" applyAlignment="1">
      <alignment horizontal="left" wrapText="1"/>
      <protection/>
    </xf>
    <xf numFmtId="0" fontId="49" fillId="23" borderId="0" xfId="95" applyFont="1" applyFill="1">
      <alignment/>
      <protection/>
    </xf>
    <xf numFmtId="0" fontId="0" fillId="23" borderId="0" xfId="96" applyFont="1" applyFill="1" applyAlignment="1">
      <alignment horizontal="left"/>
    </xf>
    <xf numFmtId="0" fontId="0" fillId="23" borderId="0" xfId="0" applyFill="1" applyAlignment="1">
      <alignment horizontal="left"/>
    </xf>
    <xf numFmtId="0" fontId="49" fillId="23" borderId="0" xfId="0" applyFont="1" applyFill="1" applyBorder="1" applyAlignment="1">
      <alignment/>
    </xf>
    <xf numFmtId="0" fontId="0" fillId="20" borderId="3" xfId="0" applyFill="1" applyBorder="1" applyAlignment="1">
      <alignment/>
    </xf>
    <xf numFmtId="0" fontId="49" fillId="23" borderId="0" xfId="0" applyFont="1" applyFill="1" applyAlignment="1">
      <alignment/>
    </xf>
    <xf numFmtId="0" fontId="47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4" fillId="23" borderId="0" xfId="0" applyFont="1" applyFill="1" applyAlignment="1">
      <alignment horizontal="left"/>
    </xf>
    <xf numFmtId="0" fontId="62" fillId="23" borderId="0" xfId="138" applyFont="1" applyFill="1">
      <alignment/>
      <protection/>
    </xf>
    <xf numFmtId="0" fontId="49" fillId="23" borderId="0" xfId="138" applyFont="1" applyFill="1">
      <alignment/>
      <protection/>
    </xf>
    <xf numFmtId="0" fontId="3" fillId="23" borderId="0" xfId="138" applyFill="1">
      <alignment/>
      <protection/>
    </xf>
    <xf numFmtId="3" fontId="56" fillId="23" borderId="0" xfId="108" applyNumberFormat="1" applyFont="1" applyFill="1" applyBorder="1" applyAlignment="1" applyProtection="1">
      <alignment horizontal="center"/>
      <protection locked="0"/>
    </xf>
    <xf numFmtId="0" fontId="49" fillId="20" borderId="3" xfId="99" applyFont="1" applyFill="1" applyBorder="1" applyAlignment="1">
      <alignment horizontal="center" wrapText="1"/>
      <protection/>
    </xf>
    <xf numFmtId="0" fontId="43" fillId="23" borderId="0" xfId="0" applyFont="1" applyFill="1" applyBorder="1" applyAlignment="1">
      <alignment/>
    </xf>
    <xf numFmtId="0" fontId="51" fillId="23" borderId="0" xfId="0" applyFont="1" applyFill="1" applyBorder="1" applyAlignment="1">
      <alignment/>
    </xf>
    <xf numFmtId="0" fontId="51" fillId="23" borderId="0" xfId="0" applyFont="1" applyFill="1" applyBorder="1" applyAlignment="1">
      <alignment horizontal="left"/>
    </xf>
    <xf numFmtId="0" fontId="54" fillId="23" borderId="0" xfId="0" applyFont="1" applyFill="1" applyBorder="1" applyAlignment="1">
      <alignment horizontal="center"/>
    </xf>
    <xf numFmtId="201" fontId="54" fillId="23" borderId="0" xfId="0" applyNumberFormat="1" applyFont="1" applyFill="1" applyBorder="1" applyAlignment="1">
      <alignment horizontal="center"/>
    </xf>
    <xf numFmtId="0" fontId="43" fillId="23" borderId="0" xfId="0" applyFont="1" applyFill="1" applyBorder="1" applyAlignment="1">
      <alignment horizontal="left"/>
    </xf>
    <xf numFmtId="0" fontId="43" fillId="23" borderId="0" xfId="0" applyFont="1" applyFill="1" applyBorder="1" applyAlignment="1">
      <alignment horizontal="center"/>
    </xf>
    <xf numFmtId="0" fontId="43" fillId="23" borderId="0" xfId="0" applyFont="1" applyFill="1" applyAlignment="1">
      <alignment/>
    </xf>
    <xf numFmtId="0" fontId="49" fillId="23" borderId="0" xfId="0" applyFont="1" applyFill="1" applyBorder="1" applyAlignment="1">
      <alignment horizontal="left"/>
    </xf>
    <xf numFmtId="0" fontId="54" fillId="23" borderId="0" xfId="0" applyFont="1" applyFill="1" applyAlignment="1">
      <alignment horizontal="center"/>
    </xf>
    <xf numFmtId="201" fontId="54" fillId="23" borderId="0" xfId="0" applyNumberFormat="1" applyFont="1" applyFill="1" applyAlignment="1">
      <alignment horizontal="center"/>
    </xf>
    <xf numFmtId="0" fontId="43" fillId="23" borderId="0" xfId="0" applyFont="1" applyFill="1" applyAlignment="1">
      <alignment horizontal="left"/>
    </xf>
    <xf numFmtId="0" fontId="43" fillId="23" borderId="0" xfId="0" applyFont="1" applyFill="1" applyAlignment="1">
      <alignment horizontal="center"/>
    </xf>
    <xf numFmtId="1" fontId="49" fillId="23" borderId="0" xfId="0" applyNumberFormat="1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1" fontId="49" fillId="23" borderId="0" xfId="0" applyNumberFormat="1" applyFont="1" applyFill="1" applyBorder="1" applyAlignment="1">
      <alignment horizontal="left"/>
    </xf>
    <xf numFmtId="1" fontId="43" fillId="23" borderId="0" xfId="0" applyNumberFormat="1" applyFont="1" applyFill="1" applyAlignment="1">
      <alignment horizontal="center"/>
    </xf>
    <xf numFmtId="0" fontId="0" fillId="23" borderId="0" xfId="0" applyFont="1" applyFill="1" applyAlignment="1">
      <alignment/>
    </xf>
    <xf numFmtId="0" fontId="49" fillId="23" borderId="3" xfId="0" applyFont="1" applyFill="1" applyBorder="1" applyAlignment="1">
      <alignment horizontal="center"/>
    </xf>
    <xf numFmtId="0" fontId="0" fillId="23" borderId="0" xfId="0" applyFont="1" applyFill="1" applyAlignment="1">
      <alignment horizontal="left"/>
    </xf>
    <xf numFmtId="0" fontId="0" fillId="23" borderId="15" xfId="99" applyFont="1" applyFill="1" applyBorder="1" applyAlignment="1">
      <alignment horizontal="left"/>
      <protection/>
    </xf>
    <xf numFmtId="0" fontId="0" fillId="23" borderId="3" xfId="99" applyFont="1" applyFill="1" applyBorder="1" applyAlignment="1">
      <alignment horizontal="center" wrapText="1"/>
      <protection/>
    </xf>
    <xf numFmtId="0" fontId="0" fillId="23" borderId="0" xfId="0" applyFont="1" applyFill="1" applyAlignment="1">
      <alignment horizontal="center"/>
    </xf>
    <xf numFmtId="0" fontId="49" fillId="23" borderId="0" xfId="0" applyFont="1" applyFill="1" applyAlignment="1">
      <alignment horizontal="left"/>
    </xf>
    <xf numFmtId="0" fontId="49" fillId="20" borderId="3" xfId="0" applyFont="1" applyFill="1" applyBorder="1" applyAlignment="1">
      <alignment/>
    </xf>
    <xf numFmtId="199" fontId="49" fillId="20" borderId="3" xfId="51" applyNumberFormat="1" applyFont="1" applyFill="1" applyBorder="1" applyAlignment="1">
      <alignment/>
    </xf>
    <xf numFmtId="0" fontId="49" fillId="20" borderId="3" xfId="0" applyFont="1" applyFill="1" applyBorder="1" applyAlignment="1">
      <alignment horizontal="center"/>
    </xf>
    <xf numFmtId="0" fontId="0" fillId="23" borderId="3" xfId="0" applyFont="1" applyFill="1" applyBorder="1" applyAlignment="1">
      <alignment/>
    </xf>
    <xf numFmtId="0" fontId="46" fillId="23" borderId="0" xfId="0" applyFont="1" applyFill="1" applyAlignment="1">
      <alignment/>
    </xf>
    <xf numFmtId="0" fontId="43" fillId="23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23" borderId="0" xfId="0" applyFill="1" applyAlignment="1">
      <alignment horizontal="center"/>
    </xf>
    <xf numFmtId="0" fontId="59" fillId="23" borderId="0" xfId="0" applyFont="1" applyFill="1" applyAlignment="1">
      <alignment horizontal="center"/>
    </xf>
    <xf numFmtId="0" fontId="43" fillId="23" borderId="0" xfId="97" applyFont="1" applyFill="1" applyAlignment="1">
      <alignment/>
    </xf>
    <xf numFmtId="0" fontId="49" fillId="20" borderId="3" xfId="99" applyFont="1" applyFill="1" applyBorder="1" applyAlignment="1">
      <alignment horizontal="left"/>
      <protection/>
    </xf>
    <xf numFmtId="0" fontId="44" fillId="23" borderId="0" xfId="97" applyFont="1" applyFill="1" applyAlignment="1">
      <alignment/>
    </xf>
    <xf numFmtId="0" fontId="45" fillId="23" borderId="0" xfId="97" applyFont="1" applyFill="1" applyAlignment="1">
      <alignment/>
    </xf>
    <xf numFmtId="0" fontId="44" fillId="20" borderId="3" xfId="97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32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3" xfId="0" applyFill="1" applyBorder="1" applyAlignment="1">
      <alignment/>
    </xf>
    <xf numFmtId="0" fontId="49" fillId="34" borderId="3" xfId="0" applyFont="1" applyFill="1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49" fillId="0" borderId="0" xfId="0" applyFont="1" applyAlignment="1">
      <alignment horizontal="left"/>
    </xf>
    <xf numFmtId="0" fontId="0" fillId="0" borderId="3" xfId="0" applyBorder="1" applyAlignment="1">
      <alignment/>
    </xf>
    <xf numFmtId="0" fontId="43" fillId="23" borderId="0" xfId="0" applyFont="1" applyFill="1" applyAlignment="1">
      <alignment horizontal="center"/>
    </xf>
    <xf numFmtId="0" fontId="43" fillId="23" borderId="0" xfId="96" applyFont="1" applyFill="1" applyAlignment="1">
      <alignment/>
    </xf>
    <xf numFmtId="3" fontId="48" fillId="23" borderId="0" xfId="96" applyNumberFormat="1" applyFont="1" applyFill="1" applyBorder="1" applyAlignment="1">
      <alignment/>
    </xf>
    <xf numFmtId="0" fontId="50" fillId="23" borderId="0" xfId="96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3" fillId="23" borderId="0" xfId="0" applyFont="1" applyFill="1" applyAlignment="1">
      <alignment/>
    </xf>
    <xf numFmtId="3" fontId="0" fillId="0" borderId="3" xfId="0" applyNumberFormat="1" applyBorder="1" applyAlignment="1">
      <alignment/>
    </xf>
    <xf numFmtId="0" fontId="0" fillId="23" borderId="0" xfId="0" applyFill="1" applyAlignment="1">
      <alignment/>
    </xf>
    <xf numFmtId="0" fontId="49" fillId="34" borderId="3" xfId="0" applyFont="1" applyFill="1" applyBorder="1" applyAlignment="1">
      <alignment/>
    </xf>
    <xf numFmtId="0" fontId="49" fillId="34" borderId="3" xfId="0" applyFont="1" applyFill="1" applyBorder="1" applyAlignment="1">
      <alignment horizontal="left"/>
    </xf>
    <xf numFmtId="0" fontId="0" fillId="23" borderId="0" xfId="0" applyFill="1" applyAlignment="1">
      <alignment wrapText="1"/>
    </xf>
    <xf numFmtId="0" fontId="49" fillId="20" borderId="15" xfId="0" applyFont="1" applyFill="1" applyBorder="1" applyAlignment="1">
      <alignment horizontal="center"/>
    </xf>
    <xf numFmtId="0" fontId="49" fillId="20" borderId="16" xfId="0" applyFont="1" applyFill="1" applyBorder="1" applyAlignment="1">
      <alignment horizontal="center"/>
    </xf>
    <xf numFmtId="0" fontId="49" fillId="20" borderId="17" xfId="0" applyFont="1" applyFill="1" applyBorder="1" applyAlignment="1">
      <alignment horizontal="center"/>
    </xf>
    <xf numFmtId="199" fontId="0" fillId="23" borderId="0" xfId="51" applyNumberFormat="1" applyFont="1" applyFill="1" applyAlignment="1">
      <alignment/>
    </xf>
    <xf numFmtId="197" fontId="0" fillId="23" borderId="3" xfId="96" applyNumberFormat="1" applyFont="1" applyFill="1" applyBorder="1" applyAlignment="1">
      <alignment horizontal="center"/>
    </xf>
    <xf numFmtId="202" fontId="0" fillId="23" borderId="3" xfId="51" applyNumberFormat="1" applyFont="1" applyFill="1" applyBorder="1" applyAlignment="1" applyProtection="1">
      <alignment horizontal="center"/>
      <protection locked="0"/>
    </xf>
    <xf numFmtId="197" fontId="49" fillId="20" borderId="3" xfId="96" applyNumberFormat="1" applyFont="1" applyFill="1" applyBorder="1" applyAlignment="1">
      <alignment horizontal="center"/>
    </xf>
    <xf numFmtId="202" fontId="49" fillId="20" borderId="3" xfId="51" applyNumberFormat="1" applyFont="1" applyFill="1" applyBorder="1" applyAlignment="1" applyProtection="1">
      <alignment horizontal="center"/>
      <protection locked="0"/>
    </xf>
    <xf numFmtId="0" fontId="68" fillId="20" borderId="3" xfId="95" applyFont="1" applyFill="1" applyBorder="1" applyAlignment="1">
      <alignment horizontal="left" wrapText="1"/>
      <protection/>
    </xf>
    <xf numFmtId="197" fontId="69" fillId="20" borderId="3" xfId="95" applyNumberFormat="1" applyFont="1" applyFill="1" applyBorder="1" applyAlignment="1">
      <alignment horizontal="left" wrapText="1"/>
      <protection/>
    </xf>
    <xf numFmtId="0" fontId="70" fillId="23" borderId="3" xfId="95" applyFont="1" applyFill="1" applyBorder="1" applyAlignment="1">
      <alignment horizontal="left"/>
      <protection/>
    </xf>
    <xf numFmtId="202" fontId="0" fillId="23" borderId="0" xfId="0" applyNumberFormat="1" applyFill="1" applyAlignment="1">
      <alignment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205" fontId="0" fillId="35" borderId="3" xfId="51" applyNumberFormat="1" applyFont="1" applyFill="1" applyBorder="1" applyAlignment="1" applyProtection="1">
      <alignment horizontal="center"/>
      <protection locked="0"/>
    </xf>
    <xf numFmtId="202" fontId="49" fillId="20" borderId="3" xfId="95" applyNumberFormat="1" applyFont="1" applyFill="1" applyBorder="1" applyAlignment="1">
      <alignment horizontal="center" wrapText="1"/>
      <protection/>
    </xf>
    <xf numFmtId="0" fontId="72" fillId="20" borderId="3" xfId="95" applyFont="1" applyFill="1" applyBorder="1" applyAlignment="1">
      <alignment horizontal="left" wrapText="1"/>
      <protection/>
    </xf>
    <xf numFmtId="1" fontId="0" fillId="23" borderId="0" xfId="0" applyNumberFormat="1" applyFill="1" applyAlignment="1">
      <alignment/>
    </xf>
    <xf numFmtId="0" fontId="54" fillId="23" borderId="0" xfId="0" applyFont="1" applyFill="1" applyAlignment="1">
      <alignment horizontal="left"/>
    </xf>
    <xf numFmtId="0" fontId="0" fillId="23" borderId="0" xfId="0" applyFont="1" applyFill="1" applyBorder="1" applyAlignment="1">
      <alignment horizontal="right"/>
    </xf>
    <xf numFmtId="199" fontId="0" fillId="23" borderId="0" xfId="51" applyNumberFormat="1" applyFont="1" applyFill="1" applyBorder="1" applyAlignment="1" applyProtection="1">
      <alignment horizontal="left"/>
      <protection locked="0"/>
    </xf>
    <xf numFmtId="0" fontId="0" fillId="23" borderId="0" xfId="0" applyFont="1" applyFill="1" applyAlignment="1">
      <alignment/>
    </xf>
    <xf numFmtId="0" fontId="64" fillId="23" borderId="3" xfId="99" applyFont="1" applyFill="1" applyBorder="1" applyAlignment="1">
      <alignment horizontal="center"/>
      <protection/>
    </xf>
    <xf numFmtId="0" fontId="49" fillId="20" borderId="18" xfId="0" applyFont="1" applyFill="1" applyBorder="1" applyAlignment="1">
      <alignment horizontal="center" wrapText="1"/>
    </xf>
    <xf numFmtId="0" fontId="49" fillId="20" borderId="19" xfId="95" applyFont="1" applyFill="1" applyBorder="1" applyAlignment="1">
      <alignment horizontal="center" wrapText="1"/>
      <protection/>
    </xf>
    <xf numFmtId="0" fontId="49" fillId="24" borderId="15" xfId="0" applyFont="1" applyFill="1" applyBorder="1" applyAlignment="1">
      <alignment horizontal="center"/>
    </xf>
    <xf numFmtId="0" fontId="51" fillId="23" borderId="0" xfId="0" applyFont="1" applyFill="1" applyAlignment="1">
      <alignment/>
    </xf>
    <xf numFmtId="3" fontId="46" fillId="32" borderId="3" xfId="0" applyNumberFormat="1" applyFont="1" applyFill="1" applyBorder="1" applyAlignment="1">
      <alignment horizontal="center"/>
    </xf>
    <xf numFmtId="0" fontId="0" fillId="35" borderId="3" xfId="95" applyFont="1" applyFill="1" applyBorder="1" applyAlignment="1">
      <alignment horizontal="left"/>
      <protection/>
    </xf>
    <xf numFmtId="3" fontId="64" fillId="35" borderId="3" xfId="99" applyNumberFormat="1" applyFont="1" applyFill="1" applyBorder="1" applyAlignment="1">
      <alignment horizontal="center"/>
      <protection/>
    </xf>
    <xf numFmtId="0" fontId="0" fillId="35" borderId="3" xfId="0" applyFill="1" applyBorder="1" applyAlignment="1">
      <alignment/>
    </xf>
    <xf numFmtId="0" fontId="49" fillId="34" borderId="3" xfId="0" applyFont="1" applyFill="1" applyBorder="1" applyAlignment="1">
      <alignment wrapText="1"/>
    </xf>
    <xf numFmtId="0" fontId="67" fillId="34" borderId="3" xfId="0" applyFont="1" applyFill="1" applyBorder="1" applyAlignment="1">
      <alignment wrapText="1"/>
    </xf>
    <xf numFmtId="0" fontId="0" fillId="23" borderId="19" xfId="95" applyFont="1" applyFill="1" applyBorder="1" applyAlignment="1">
      <alignment horizontal="left"/>
      <protection/>
    </xf>
    <xf numFmtId="3" fontId="0" fillId="23" borderId="3" xfId="0" applyNumberFormat="1" applyFill="1" applyBorder="1" applyAlignment="1">
      <alignment horizontal="center"/>
    </xf>
    <xf numFmtId="3" fontId="0" fillId="35" borderId="3" xfId="0" applyNumberFormat="1" applyFill="1" applyBorder="1" applyAlignment="1">
      <alignment horizontal="center"/>
    </xf>
    <xf numFmtId="0" fontId="70" fillId="23" borderId="0" xfId="0" applyFont="1" applyFill="1" applyAlignment="1">
      <alignment/>
    </xf>
    <xf numFmtId="0" fontId="67" fillId="20" borderId="3" xfId="99" applyFont="1" applyFill="1" applyBorder="1" applyAlignment="1">
      <alignment horizontal="center" wrapText="1"/>
      <protection/>
    </xf>
    <xf numFmtId="0" fontId="67" fillId="20" borderId="3" xfId="95" applyFont="1" applyFill="1" applyBorder="1" applyAlignment="1">
      <alignment horizontal="center" wrapText="1"/>
      <protection/>
    </xf>
    <xf numFmtId="0" fontId="0" fillId="20" borderId="3" xfId="0" applyFill="1" applyBorder="1" applyAlignment="1">
      <alignment horizontal="center"/>
    </xf>
    <xf numFmtId="0" fontId="63" fillId="23" borderId="0" xfId="0" applyFont="1" applyFill="1" applyAlignment="1">
      <alignment horizontal="left"/>
    </xf>
    <xf numFmtId="0" fontId="0" fillId="26" borderId="15" xfId="0" applyFill="1" applyBorder="1" applyAlignment="1">
      <alignment/>
    </xf>
    <xf numFmtId="0" fontId="74" fillId="26" borderId="16" xfId="0" applyFont="1" applyFill="1" applyBorder="1" applyAlignment="1">
      <alignment horizontal="right"/>
    </xf>
    <xf numFmtId="0" fontId="0" fillId="26" borderId="17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74" fillId="36" borderId="16" xfId="0" applyFont="1" applyFill="1" applyBorder="1" applyAlignment="1">
      <alignment horizontal="right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59" fillId="20" borderId="15" xfId="0" applyFont="1" applyFill="1" applyBorder="1" applyAlignment="1">
      <alignment horizontal="center"/>
    </xf>
    <xf numFmtId="0" fontId="59" fillId="20" borderId="16" xfId="0" applyFont="1" applyFill="1" applyBorder="1" applyAlignment="1">
      <alignment horizontal="center"/>
    </xf>
    <xf numFmtId="0" fontId="59" fillId="20" borderId="17" xfId="0" applyFont="1" applyFill="1" applyBorder="1" applyAlignment="1">
      <alignment horizontal="center"/>
    </xf>
    <xf numFmtId="0" fontId="59" fillId="20" borderId="20" xfId="0" applyFont="1" applyFill="1" applyBorder="1" applyAlignment="1">
      <alignment horizontal="center"/>
    </xf>
    <xf numFmtId="0" fontId="59" fillId="20" borderId="10" xfId="0" applyFont="1" applyFill="1" applyBorder="1" applyAlignment="1">
      <alignment horizontal="center"/>
    </xf>
    <xf numFmtId="0" fontId="59" fillId="20" borderId="21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0" fontId="64" fillId="35" borderId="3" xfId="99" applyFont="1" applyFill="1" applyBorder="1" applyAlignment="1">
      <alignment horizontal="center"/>
      <protection/>
    </xf>
    <xf numFmtId="0" fontId="0" fillId="20" borderId="15" xfId="0" applyFill="1" applyBorder="1" applyAlignment="1">
      <alignment horizontal="center"/>
    </xf>
    <xf numFmtId="0" fontId="63" fillId="24" borderId="16" xfId="0" applyFont="1" applyFill="1" applyBorder="1" applyAlignment="1">
      <alignment horizontal="center"/>
    </xf>
    <xf numFmtId="0" fontId="63" fillId="24" borderId="15" xfId="0" applyFont="1" applyFill="1" applyBorder="1" applyAlignment="1">
      <alignment horizontal="right"/>
    </xf>
    <xf numFmtId="0" fontId="59" fillId="24" borderId="17" xfId="0" applyFont="1" applyFill="1" applyBorder="1" applyAlignment="1">
      <alignment horizontal="right"/>
    </xf>
    <xf numFmtId="0" fontId="0" fillId="37" borderId="15" xfId="0" applyFill="1" applyBorder="1" applyAlignment="1">
      <alignment/>
    </xf>
    <xf numFmtId="0" fontId="74" fillId="37" borderId="16" xfId="0" applyFont="1" applyFill="1" applyBorder="1" applyAlignment="1">
      <alignment horizontal="right"/>
    </xf>
    <xf numFmtId="0" fontId="74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5" xfId="0" applyFill="1" applyBorder="1" applyAlignment="1">
      <alignment/>
    </xf>
    <xf numFmtId="0" fontId="74" fillId="38" borderId="16" xfId="0" applyFont="1" applyFill="1" applyBorder="1" applyAlignment="1">
      <alignment horizontal="right"/>
    </xf>
    <xf numFmtId="0" fontId="74" fillId="38" borderId="16" xfId="0" applyFont="1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74" fillId="36" borderId="16" xfId="0" applyFont="1" applyFill="1" applyBorder="1" applyAlignment="1">
      <alignment horizontal="center"/>
    </xf>
    <xf numFmtId="0" fontId="59" fillId="30" borderId="0" xfId="0" applyFont="1" applyFill="1" applyAlignment="1">
      <alignment/>
    </xf>
    <xf numFmtId="0" fontId="59" fillId="30" borderId="0" xfId="0" applyFont="1" applyFill="1" applyAlignment="1">
      <alignment horizontal="center"/>
    </xf>
    <xf numFmtId="0" fontId="59" fillId="37" borderId="0" xfId="0" applyFont="1" applyFill="1" applyAlignment="1">
      <alignment/>
    </xf>
    <xf numFmtId="0" fontId="59" fillId="37" borderId="0" xfId="0" applyFont="1" applyFill="1" applyAlignment="1">
      <alignment horizontal="center"/>
    </xf>
    <xf numFmtId="0" fontId="59" fillId="38" borderId="0" xfId="0" applyFont="1" applyFill="1" applyAlignment="1">
      <alignment/>
    </xf>
    <xf numFmtId="0" fontId="59" fillId="38" borderId="0" xfId="0" applyFont="1" applyFill="1" applyAlignment="1">
      <alignment horizontal="center"/>
    </xf>
    <xf numFmtId="0" fontId="59" fillId="19" borderId="0" xfId="0" applyFont="1" applyFill="1" applyAlignment="1">
      <alignment/>
    </xf>
    <xf numFmtId="0" fontId="0" fillId="19" borderId="0" xfId="0" applyFill="1" applyAlignment="1">
      <alignment/>
    </xf>
    <xf numFmtId="0" fontId="59" fillId="39" borderId="0" xfId="0" applyFont="1" applyFill="1" applyAlignment="1">
      <alignment/>
    </xf>
    <xf numFmtId="0" fontId="59" fillId="39" borderId="0" xfId="0" applyFont="1" applyFill="1" applyAlignment="1">
      <alignment horizontal="center"/>
    </xf>
    <xf numFmtId="0" fontId="59" fillId="18" borderId="0" xfId="0" applyFont="1" applyFill="1" applyAlignment="1">
      <alignment/>
    </xf>
    <xf numFmtId="0" fontId="59" fillId="18" borderId="3" xfId="0" applyFont="1" applyFill="1" applyBorder="1" applyAlignment="1">
      <alignment horizontal="center"/>
    </xf>
    <xf numFmtId="0" fontId="71" fillId="23" borderId="3" xfId="95" applyFont="1" applyFill="1" applyBorder="1" applyAlignment="1">
      <alignment/>
      <protection/>
    </xf>
    <xf numFmtId="202" fontId="0" fillId="23" borderId="0" xfId="0" applyNumberFormat="1" applyFill="1" applyAlignment="1">
      <alignment/>
    </xf>
    <xf numFmtId="0" fontId="0" fillId="20" borderId="3" xfId="0" applyFont="1" applyFill="1" applyBorder="1" applyAlignment="1">
      <alignment/>
    </xf>
    <xf numFmtId="9" fontId="49" fillId="20" borderId="3" xfId="108" applyFont="1" applyFill="1" applyBorder="1" applyAlignment="1">
      <alignment horizontal="center"/>
    </xf>
    <xf numFmtId="9" fontId="0" fillId="23" borderId="0" xfId="108" applyFont="1" applyFill="1" applyAlignment="1">
      <alignment/>
    </xf>
    <xf numFmtId="0" fontId="49" fillId="20" borderId="3" xfId="0" applyFont="1" applyFill="1" applyBorder="1" applyAlignment="1">
      <alignment wrapText="1"/>
    </xf>
    <xf numFmtId="3" fontId="0" fillId="23" borderId="0" xfId="0" applyNumberFormat="1" applyFill="1" applyAlignment="1">
      <alignment/>
    </xf>
    <xf numFmtId="0" fontId="44" fillId="20" borderId="16" xfId="97" applyFont="1" applyFill="1" applyBorder="1" applyAlignment="1">
      <alignment horizontal="center"/>
    </xf>
    <xf numFmtId="3" fontId="0" fillId="23" borderId="0" xfId="0" applyNumberFormat="1" applyFill="1" applyAlignment="1">
      <alignment horizontal="center"/>
    </xf>
    <xf numFmtId="0" fontId="43" fillId="23" borderId="0" xfId="0" applyFont="1" applyFill="1" applyAlignment="1">
      <alignment/>
    </xf>
    <xf numFmtId="0" fontId="49" fillId="20" borderId="19" xfId="0" applyFont="1" applyFill="1" applyBorder="1" applyAlignment="1">
      <alignment horizontal="center" wrapText="1"/>
    </xf>
    <xf numFmtId="2" fontId="49" fillId="23" borderId="0" xfId="0" applyNumberFormat="1" applyFont="1" applyFill="1" applyAlignment="1">
      <alignment horizontal="left"/>
    </xf>
    <xf numFmtId="0" fontId="75" fillId="23" borderId="0" xfId="97" applyFont="1" applyFill="1" applyAlignment="1">
      <alignment horizontal="center"/>
    </xf>
    <xf numFmtId="0" fontId="45" fillId="20" borderId="19" xfId="97" applyFont="1" applyFill="1" applyBorder="1" applyAlignment="1">
      <alignment horizontal="center"/>
    </xf>
    <xf numFmtId="0" fontId="45" fillId="20" borderId="3" xfId="97" applyFont="1" applyFill="1" applyBorder="1" applyAlignment="1">
      <alignment horizontal="center" textRotation="90"/>
    </xf>
    <xf numFmtId="1" fontId="0" fillId="23" borderId="0" xfId="0" applyNumberFormat="1" applyFont="1" applyFill="1" applyBorder="1" applyAlignment="1">
      <alignment/>
    </xf>
    <xf numFmtId="0" fontId="0" fillId="20" borderId="3" xfId="0" applyFont="1" applyFill="1" applyBorder="1" applyAlignment="1">
      <alignment horizontal="center"/>
    </xf>
    <xf numFmtId="0" fontId="76" fillId="23" borderId="0" xfId="0" applyFont="1" applyFill="1" applyBorder="1" applyAlignment="1">
      <alignment horizontal="center"/>
    </xf>
    <xf numFmtId="0" fontId="0" fillId="0" borderId="3" xfId="95" applyFont="1" applyFill="1" applyBorder="1" applyAlignment="1">
      <alignment horizontal="left" wrapText="1"/>
      <protection/>
    </xf>
    <xf numFmtId="3" fontId="76" fillId="23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/>
    </xf>
    <xf numFmtId="3" fontId="49" fillId="20" borderId="3" xfId="0" applyNumberFormat="1" applyFont="1" applyFill="1" applyBorder="1" applyAlignment="1">
      <alignment horizontal="center"/>
    </xf>
    <xf numFmtId="206" fontId="0" fillId="23" borderId="0" xfId="0" applyNumberFormat="1" applyFill="1" applyAlignment="1">
      <alignment/>
    </xf>
    <xf numFmtId="0" fontId="0" fillId="23" borderId="0" xfId="0" applyFill="1" applyAlignment="1">
      <alignment horizontal="right"/>
    </xf>
    <xf numFmtId="0" fontId="43" fillId="23" borderId="0" xfId="0" applyFont="1" applyFill="1" applyAlignment="1">
      <alignment horizontal="right"/>
    </xf>
    <xf numFmtId="207" fontId="0" fillId="23" borderId="0" xfId="96" applyNumberFormat="1" applyFont="1" applyFill="1" applyAlignment="1">
      <alignment horizontal="center"/>
    </xf>
    <xf numFmtId="0" fontId="49" fillId="23" borderId="0" xfId="97" applyFont="1" applyFill="1" applyAlignment="1">
      <alignment/>
    </xf>
    <xf numFmtId="199" fontId="50" fillId="23" borderId="0" xfId="51" applyNumberFormat="1" applyFont="1" applyFill="1" applyBorder="1" applyAlignment="1" applyProtection="1">
      <alignment/>
      <protection locked="0"/>
    </xf>
    <xf numFmtId="3" fontId="0" fillId="40" borderId="3" xfId="0" applyNumberFormat="1" applyFont="1" applyFill="1" applyBorder="1" applyAlignment="1">
      <alignment horizontal="center"/>
    </xf>
    <xf numFmtId="0" fontId="0" fillId="23" borderId="0" xfId="0" applyFill="1" applyAlignment="1">
      <alignment horizontal="left" wrapText="1"/>
    </xf>
    <xf numFmtId="0" fontId="0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1" borderId="0" xfId="0" applyFill="1" applyAlignment="1">
      <alignment/>
    </xf>
    <xf numFmtId="0" fontId="0" fillId="21" borderId="0" xfId="0" applyFill="1" applyAlignment="1">
      <alignment/>
    </xf>
    <xf numFmtId="201" fontId="0" fillId="23" borderId="0" xfId="108" applyNumberFormat="1" applyFont="1" applyFill="1" applyAlignment="1">
      <alignment/>
    </xf>
    <xf numFmtId="0" fontId="0" fillId="23" borderId="15" xfId="0" applyFill="1" applyBorder="1" applyAlignment="1">
      <alignment/>
    </xf>
    <xf numFmtId="0" fontId="0" fillId="31" borderId="0" xfId="0" applyFont="1" applyFill="1" applyAlignment="1">
      <alignment/>
    </xf>
    <xf numFmtId="0" fontId="79" fillId="31" borderId="0" xfId="0" applyFont="1" applyFill="1" applyAlignment="1">
      <alignment/>
    </xf>
    <xf numFmtId="0" fontId="43" fillId="31" borderId="0" xfId="0" applyFont="1" applyFill="1" applyAlignment="1">
      <alignment/>
    </xf>
    <xf numFmtId="0" fontId="49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81" fillId="23" borderId="0" xfId="0" applyFont="1" applyFill="1" applyAlignment="1">
      <alignment/>
    </xf>
    <xf numFmtId="0" fontId="81" fillId="23" borderId="0" xfId="0" applyFont="1" applyFill="1" applyAlignment="1">
      <alignment wrapText="1"/>
    </xf>
    <xf numFmtId="0" fontId="49" fillId="7" borderId="0" xfId="0" applyFont="1" applyFill="1" applyAlignment="1">
      <alignment/>
    </xf>
    <xf numFmtId="0" fontId="0" fillId="7" borderId="0" xfId="0" applyFill="1" applyAlignment="1">
      <alignment/>
    </xf>
    <xf numFmtId="0" fontId="81" fillId="23" borderId="0" xfId="0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83" fillId="23" borderId="0" xfId="0" applyFont="1" applyFill="1" applyAlignment="1">
      <alignment/>
    </xf>
    <xf numFmtId="0" fontId="83" fillId="23" borderId="0" xfId="0" applyFont="1" applyFill="1" applyAlignment="1">
      <alignment/>
    </xf>
    <xf numFmtId="1" fontId="49" fillId="23" borderId="0" xfId="0" applyNumberFormat="1" applyFont="1" applyFill="1" applyAlignment="1">
      <alignment/>
    </xf>
    <xf numFmtId="0" fontId="49" fillId="23" borderId="0" xfId="0" applyFont="1" applyFill="1" applyAlignment="1">
      <alignment/>
    </xf>
    <xf numFmtId="0" fontId="81" fillId="23" borderId="0" xfId="0" applyFont="1" applyFill="1" applyAlignment="1">
      <alignment horizontal="left"/>
    </xf>
    <xf numFmtId="2" fontId="51" fillId="23" borderId="0" xfId="96" applyNumberFormat="1" applyFont="1" applyFill="1" applyBorder="1" applyAlignment="1">
      <alignment horizontal="left"/>
    </xf>
    <xf numFmtId="0" fontId="49" fillId="32" borderId="0" xfId="0" applyFont="1" applyFill="1" applyAlignment="1">
      <alignment horizontal="left"/>
    </xf>
    <xf numFmtId="2" fontId="51" fillId="23" borderId="0" xfId="0" applyNumberFormat="1" applyFont="1" applyFill="1" applyAlignment="1">
      <alignment horizontal="left"/>
    </xf>
    <xf numFmtId="0" fontId="43" fillId="23" borderId="0" xfId="96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51" fillId="23" borderId="0" xfId="96" applyFont="1" applyFill="1" applyBorder="1" applyAlignment="1">
      <alignment horizontal="left"/>
    </xf>
    <xf numFmtId="0" fontId="59" fillId="23" borderId="0" xfId="96" applyFont="1" applyFill="1" applyAlignment="1">
      <alignment horizontal="left"/>
    </xf>
    <xf numFmtId="0" fontId="70" fillId="23" borderId="0" xfId="0" applyFont="1" applyFill="1" applyAlignment="1">
      <alignment horizontal="left"/>
    </xf>
    <xf numFmtId="0" fontId="81" fillId="23" borderId="0" xfId="96" applyFont="1" applyFill="1" applyAlignment="1">
      <alignment/>
    </xf>
    <xf numFmtId="0" fontId="81" fillId="23" borderId="0" xfId="96" applyFont="1" applyFill="1" applyAlignment="1">
      <alignment horizontal="left"/>
    </xf>
    <xf numFmtId="0" fontId="84" fillId="23" borderId="0" xfId="96" applyFont="1" applyFill="1" applyAlignment="1">
      <alignment/>
    </xf>
    <xf numFmtId="0" fontId="83" fillId="23" borderId="0" xfId="96" applyFont="1" applyFill="1" applyAlignment="1">
      <alignment horizontal="center"/>
    </xf>
    <xf numFmtId="0" fontId="84" fillId="23" borderId="0" xfId="96" applyFont="1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84" fillId="23" borderId="0" xfId="96" applyFont="1" applyFill="1" applyAlignment="1">
      <alignment horizontal="center"/>
    </xf>
    <xf numFmtId="0" fontId="0" fillId="8" borderId="0" xfId="0" applyFont="1" applyFill="1" applyAlignment="1">
      <alignment/>
    </xf>
    <xf numFmtId="0" fontId="77" fillId="8" borderId="0" xfId="0" applyFont="1" applyFill="1" applyAlignment="1">
      <alignment/>
    </xf>
    <xf numFmtId="0" fontId="78" fillId="8" borderId="0" xfId="0" applyFont="1" applyFill="1" applyAlignment="1">
      <alignment/>
    </xf>
    <xf numFmtId="0" fontId="79" fillId="8" borderId="0" xfId="0" applyFont="1" applyFill="1" applyAlignment="1">
      <alignment/>
    </xf>
    <xf numFmtId="15" fontId="79" fillId="8" borderId="0" xfId="0" applyNumberFormat="1" applyFont="1" applyFill="1" applyAlignment="1">
      <alignment horizontal="left"/>
    </xf>
    <xf numFmtId="197" fontId="79" fillId="8" borderId="0" xfId="0" applyNumberFormat="1" applyFont="1" applyFill="1" applyAlignment="1">
      <alignment horizontal="left"/>
    </xf>
    <xf numFmtId="0" fontId="80" fillId="8" borderId="0" xfId="0" applyFont="1" applyFill="1" applyAlignment="1">
      <alignment/>
    </xf>
    <xf numFmtId="0" fontId="49" fillId="20" borderId="3" xfId="138" applyFont="1" applyFill="1" applyBorder="1" applyProtection="1">
      <alignment/>
      <protection/>
    </xf>
    <xf numFmtId="0" fontId="0" fillId="0" borderId="3" xfId="0" applyFont="1" applyFill="1" applyBorder="1" applyAlignment="1">
      <alignment/>
    </xf>
    <xf numFmtId="3" fontId="46" fillId="21" borderId="3" xfId="0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 horizontal="center"/>
      <protection/>
    </xf>
    <xf numFmtId="3" fontId="46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 applyAlignment="1">
      <alignment/>
      <protection/>
    </xf>
    <xf numFmtId="3" fontId="0" fillId="21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49" fillId="20" borderId="3" xfId="99" applyFont="1" applyFill="1" applyBorder="1" applyAlignment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201" fontId="49" fillId="23" borderId="0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0" fontId="0" fillId="2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3" fontId="0" fillId="7" borderId="3" xfId="0" applyNumberFormat="1" applyFon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0" fontId="0" fillId="42" borderId="17" xfId="0" applyFill="1" applyBorder="1" applyAlignment="1">
      <alignment/>
    </xf>
    <xf numFmtId="0" fontId="0" fillId="42" borderId="16" xfId="0" applyFill="1" applyBorder="1" applyAlignment="1">
      <alignment horizontal="center"/>
    </xf>
    <xf numFmtId="9" fontId="0" fillId="42" borderId="3" xfId="108" applyFont="1" applyFill="1" applyBorder="1" applyAlignment="1">
      <alignment horizontal="center"/>
    </xf>
    <xf numFmtId="0" fontId="49" fillId="0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00" fontId="0" fillId="3" borderId="3" xfId="108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9" fontId="0" fillId="8" borderId="3" xfId="108" applyFont="1" applyFill="1" applyBorder="1" applyAlignment="1">
      <alignment/>
    </xf>
    <xf numFmtId="9" fontId="0" fillId="8" borderId="3" xfId="108" applyFont="1" applyFill="1" applyBorder="1" applyAlignment="1">
      <alignment horizontal="center"/>
    </xf>
    <xf numFmtId="9" fontId="0" fillId="8" borderId="3" xfId="108" applyFont="1" applyFill="1" applyBorder="1" applyAlignment="1">
      <alignment/>
    </xf>
    <xf numFmtId="10" fontId="0" fillId="8" borderId="3" xfId="108" applyNumberFormat="1" applyFont="1" applyFill="1" applyBorder="1" applyAlignment="1">
      <alignment horizontal="center"/>
    </xf>
    <xf numFmtId="200" fontId="0" fillId="8" borderId="3" xfId="108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3" fontId="0" fillId="21" borderId="3" xfId="99" applyNumberFormat="1" applyFont="1" applyFill="1" applyBorder="1" applyAlignment="1">
      <alignment horizontal="center"/>
      <protection/>
    </xf>
    <xf numFmtId="3" fontId="43" fillId="32" borderId="0" xfId="0" applyNumberFormat="1" applyFont="1" applyFill="1" applyBorder="1" applyAlignment="1">
      <alignment/>
    </xf>
    <xf numFmtId="3" fontId="0" fillId="32" borderId="0" xfId="0" applyNumberFormat="1" applyFill="1" applyBorder="1" applyAlignment="1">
      <alignment horizontal="center"/>
    </xf>
    <xf numFmtId="2" fontId="51" fillId="0" borderId="0" xfId="0" applyNumberFormat="1" applyFont="1" applyFill="1" applyBorder="1" applyAlignment="1">
      <alignment horizontal="left"/>
    </xf>
    <xf numFmtId="3" fontId="64" fillId="7" borderId="3" xfId="99" applyNumberFormat="1" applyFont="1" applyFill="1" applyBorder="1" applyAlignment="1">
      <alignment horizontal="center"/>
      <protection/>
    </xf>
    <xf numFmtId="0" fontId="0" fillId="21" borderId="3" xfId="0" applyFont="1" applyFill="1" applyBorder="1" applyAlignment="1">
      <alignment/>
    </xf>
    <xf numFmtId="0" fontId="49" fillId="20" borderId="19" xfId="99" applyFont="1" applyFill="1" applyBorder="1" applyAlignment="1">
      <alignment horizontal="center" wrapText="1"/>
      <protection/>
    </xf>
    <xf numFmtId="0" fontId="49" fillId="20" borderId="19" xfId="0" applyFont="1" applyFill="1" applyBorder="1" applyAlignment="1">
      <alignment/>
    </xf>
    <xf numFmtId="202" fontId="0" fillId="8" borderId="3" xfId="51" applyNumberFormat="1" applyFont="1" applyFill="1" applyBorder="1" applyAlignment="1" applyProtection="1">
      <alignment horizontal="center"/>
      <protection locked="0"/>
    </xf>
    <xf numFmtId="205" fontId="0" fillId="8" borderId="3" xfId="51" applyNumberFormat="1" applyFont="1" applyFill="1" applyBorder="1" applyAlignment="1" applyProtection="1">
      <alignment horizontal="center"/>
      <protection locked="0"/>
    </xf>
    <xf numFmtId="0" fontId="0" fillId="23" borderId="0" xfId="0" applyFont="1" applyFill="1" applyAlignment="1">
      <alignment/>
    </xf>
    <xf numFmtId="3" fontId="0" fillId="8" borderId="3" xfId="0" applyNumberFormat="1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0" fontId="49" fillId="20" borderId="3" xfId="0" applyFont="1" applyFill="1" applyBorder="1" applyAlignment="1">
      <alignment horizontal="left"/>
    </xf>
    <xf numFmtId="202" fontId="0" fillId="7" borderId="3" xfId="51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197" fontId="0" fillId="0" borderId="3" xfId="96" applyNumberFormat="1" applyFont="1" applyFill="1" applyBorder="1" applyAlignment="1">
      <alignment horizontal="center"/>
    </xf>
    <xf numFmtId="3" fontId="0" fillId="43" borderId="3" xfId="0" applyNumberFormat="1" applyFont="1" applyFill="1" applyBorder="1" applyAlignment="1">
      <alignment horizontal="center"/>
    </xf>
    <xf numFmtId="9" fontId="0" fillId="43" borderId="3" xfId="108" applyNumberFormat="1" applyFont="1" applyFill="1" applyBorder="1" applyAlignment="1" applyProtection="1">
      <alignment horizontal="center"/>
      <protection locked="0"/>
    </xf>
    <xf numFmtId="3" fontId="0" fillId="3" borderId="3" xfId="0" applyNumberFormat="1" applyFont="1" applyFill="1" applyBorder="1" applyAlignment="1">
      <alignment horizontal="center"/>
    </xf>
    <xf numFmtId="0" fontId="0" fillId="44" borderId="3" xfId="0" applyFont="1" applyFill="1" applyBorder="1" applyAlignment="1">
      <alignment horizontal="center"/>
    </xf>
    <xf numFmtId="9" fontId="0" fillId="8" borderId="3" xfId="108" applyNumberFormat="1" applyFont="1" applyFill="1" applyBorder="1" applyAlignment="1" applyProtection="1">
      <alignment horizontal="center"/>
      <protection locked="0"/>
    </xf>
    <xf numFmtId="0" fontId="61" fillId="23" borderId="0" xfId="96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9" fillId="20" borderId="3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/>
    </xf>
    <xf numFmtId="197" fontId="0" fillId="0" borderId="3" xfId="95" applyNumberFormat="1" applyFont="1" applyFill="1" applyBorder="1" applyAlignment="1">
      <alignment horizontal="left" wrapText="1"/>
      <protection/>
    </xf>
    <xf numFmtId="0" fontId="49" fillId="0" borderId="3" xfId="0" applyFont="1" applyFill="1" applyBorder="1" applyAlignment="1">
      <alignment/>
    </xf>
    <xf numFmtId="3" fontId="0" fillId="3" borderId="19" xfId="95" applyNumberFormat="1" applyFont="1" applyFill="1" applyBorder="1" applyAlignment="1">
      <alignment horizontal="center"/>
      <protection/>
    </xf>
    <xf numFmtId="3" fontId="0" fillId="3" borderId="3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67" fillId="20" borderId="3" xfId="95" applyFont="1" applyFill="1" applyBorder="1" applyAlignment="1">
      <alignment horizontal="center" wrapText="1"/>
      <protection/>
    </xf>
    <xf numFmtId="3" fontId="0" fillId="35" borderId="3" xfId="0" applyNumberFormat="1" applyFont="1" applyFill="1" applyBorder="1" applyAlignment="1">
      <alignment horizontal="center"/>
    </xf>
    <xf numFmtId="9" fontId="64" fillId="8" borderId="3" xfId="108" applyFont="1" applyFill="1" applyBorder="1" applyAlignment="1">
      <alignment horizontal="center"/>
    </xf>
    <xf numFmtId="202" fontId="0" fillId="0" borderId="3" xfId="95" applyNumberFormat="1" applyFont="1" applyFill="1" applyBorder="1" applyAlignment="1">
      <alignment horizontal="center" wrapText="1"/>
      <protection/>
    </xf>
    <xf numFmtId="9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7" fillId="0" borderId="19" xfId="99" applyFont="1" applyFill="1" applyBorder="1" applyAlignment="1">
      <alignment horizontal="center" wrapText="1"/>
      <protection/>
    </xf>
    <xf numFmtId="199" fontId="49" fillId="20" borderId="22" xfId="51" applyNumberFormat="1" applyFont="1" applyFill="1" applyBorder="1" applyAlignment="1">
      <alignment horizontal="center"/>
    </xf>
    <xf numFmtId="199" fontId="49" fillId="20" borderId="22" xfId="51" applyNumberFormat="1" applyFont="1" applyFill="1" applyBorder="1" applyAlignment="1">
      <alignment horizontal="center" wrapText="1"/>
    </xf>
    <xf numFmtId="199" fontId="49" fillId="20" borderId="3" xfId="51" applyNumberFormat="1" applyFont="1" applyFill="1" applyBorder="1" applyAlignment="1">
      <alignment horizontal="left"/>
    </xf>
    <xf numFmtId="0" fontId="51" fillId="23" borderId="0" xfId="96" applyFont="1" applyFill="1" applyBorder="1" applyAlignment="1">
      <alignment horizontal="left" wrapText="1"/>
    </xf>
    <xf numFmtId="199" fontId="49" fillId="20" borderId="3" xfId="51" applyNumberFormat="1" applyFont="1" applyFill="1" applyBorder="1" applyAlignment="1">
      <alignment horizontal="left" wrapText="1"/>
    </xf>
    <xf numFmtId="0" fontId="0" fillId="23" borderId="0" xfId="96" applyFont="1" applyFill="1" applyAlignment="1">
      <alignment wrapText="1"/>
    </xf>
    <xf numFmtId="2" fontId="0" fillId="21" borderId="3" xfId="0" applyNumberFormat="1" applyFont="1" applyFill="1" applyBorder="1" applyAlignment="1">
      <alignment horizontal="center"/>
    </xf>
    <xf numFmtId="2" fontId="66" fillId="3" borderId="3" xfId="97" applyNumberFormat="1" applyFont="1" applyFill="1" applyBorder="1" applyAlignment="1">
      <alignment horizontal="center"/>
    </xf>
    <xf numFmtId="0" fontId="45" fillId="20" borderId="19" xfId="97" applyFont="1" applyFill="1" applyBorder="1" applyAlignment="1">
      <alignment horizontal="left"/>
    </xf>
    <xf numFmtId="0" fontId="44" fillId="20" borderId="3" xfId="97" applyFont="1" applyFill="1" applyBorder="1" applyAlignment="1">
      <alignment horizontal="left"/>
    </xf>
    <xf numFmtId="0" fontId="0" fillId="20" borderId="3" xfId="0" applyFont="1" applyFill="1" applyBorder="1" applyAlignment="1">
      <alignment horizontal="center" textRotation="90"/>
    </xf>
    <xf numFmtId="3" fontId="76" fillId="3" borderId="3" xfId="0" applyNumberFormat="1" applyFont="1" applyFill="1" applyBorder="1" applyAlignment="1">
      <alignment horizontal="center"/>
    </xf>
    <xf numFmtId="9" fontId="49" fillId="20" borderId="3" xfId="0" applyNumberFormat="1" applyFont="1" applyFill="1" applyBorder="1" applyAlignment="1">
      <alignment horizontal="center"/>
    </xf>
    <xf numFmtId="3" fontId="0" fillId="8" borderId="3" xfId="97" applyNumberFormat="1" applyFont="1" applyFill="1" applyBorder="1" applyAlignment="1">
      <alignment horizontal="center"/>
    </xf>
    <xf numFmtId="3" fontId="49" fillId="20" borderId="3" xfId="97" applyNumberFormat="1" applyFont="1" applyFill="1" applyBorder="1" applyAlignment="1">
      <alignment horizontal="center"/>
    </xf>
    <xf numFmtId="204" fontId="76" fillId="7" borderId="3" xfId="0" applyNumberFormat="1" applyFont="1" applyFill="1" applyBorder="1" applyAlignment="1">
      <alignment horizontal="center"/>
    </xf>
    <xf numFmtId="0" fontId="49" fillId="20" borderId="3" xfId="138" applyFont="1" applyFill="1" applyBorder="1">
      <alignment/>
      <protection/>
    </xf>
    <xf numFmtId="0" fontId="49" fillId="20" borderId="3" xfId="138" applyFont="1" applyFill="1" applyBorder="1" applyAlignment="1">
      <alignment horizontal="center" wrapText="1"/>
      <protection/>
    </xf>
    <xf numFmtId="0" fontId="0" fillId="23" borderId="3" xfId="138" applyFont="1" applyFill="1" applyBorder="1">
      <alignment/>
      <protection/>
    </xf>
    <xf numFmtId="0" fontId="0" fillId="0" borderId="3" xfId="138" applyFont="1" applyBorder="1">
      <alignment/>
      <protection/>
    </xf>
    <xf numFmtId="0" fontId="0" fillId="21" borderId="3" xfId="0" applyFont="1" applyFill="1" applyBorder="1" applyAlignment="1">
      <alignment horizontal="center"/>
    </xf>
    <xf numFmtId="2" fontId="49" fillId="23" borderId="0" xfId="0" applyNumberFormat="1" applyFont="1" applyFill="1" applyAlignment="1">
      <alignment/>
    </xf>
    <xf numFmtId="9" fontId="0" fillId="8" borderId="3" xfId="108" applyFont="1" applyFill="1" applyBorder="1" applyAlignment="1">
      <alignment horizontal="center"/>
    </xf>
    <xf numFmtId="201" fontId="0" fillId="8" borderId="3" xfId="108" applyNumberFormat="1" applyFont="1" applyFill="1" applyBorder="1" applyAlignment="1">
      <alignment horizontal="center"/>
    </xf>
    <xf numFmtId="201" fontId="0" fillId="7" borderId="3" xfId="108" applyNumberFormat="1" applyFont="1" applyFill="1" applyBorder="1" applyAlignment="1">
      <alignment horizontal="center"/>
    </xf>
    <xf numFmtId="204" fontId="76" fillId="3" borderId="3" xfId="0" applyNumberFormat="1" applyFont="1" applyFill="1" applyBorder="1" applyAlignment="1">
      <alignment horizontal="center"/>
    </xf>
    <xf numFmtId="207" fontId="76" fillId="8" borderId="3" xfId="108" applyNumberFormat="1" applyFont="1" applyFill="1" applyBorder="1" applyAlignment="1">
      <alignment horizontal="center"/>
    </xf>
    <xf numFmtId="204" fontId="76" fillId="8" borderId="3" xfId="0" applyNumberFormat="1" applyFont="1" applyFill="1" applyBorder="1" applyAlignment="1">
      <alignment horizontal="center"/>
    </xf>
    <xf numFmtId="0" fontId="60" fillId="23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2" fillId="23" borderId="0" xfId="0" applyNumberFormat="1" applyFont="1" applyFill="1" applyBorder="1" applyAlignment="1">
      <alignment horizontal="center"/>
    </xf>
    <xf numFmtId="204" fontId="76" fillId="23" borderId="0" xfId="0" applyNumberFormat="1" applyFont="1" applyFill="1" applyBorder="1" applyAlignment="1">
      <alignment horizontal="center"/>
    </xf>
    <xf numFmtId="204" fontId="0" fillId="3" borderId="3" xfId="0" applyNumberFormat="1" applyFont="1" applyFill="1" applyBorder="1" applyAlignment="1">
      <alignment horizontal="center"/>
    </xf>
    <xf numFmtId="0" fontId="0" fillId="21" borderId="3" xfId="95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0" fillId="21" borderId="3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/>
    </xf>
    <xf numFmtId="0" fontId="0" fillId="21" borderId="15" xfId="138" applyNumberFormat="1" applyFont="1" applyFill="1" applyBorder="1" applyAlignment="1">
      <alignment horizontal="left"/>
      <protection/>
    </xf>
    <xf numFmtId="0" fontId="0" fillId="21" borderId="17" xfId="138" applyNumberFormat="1" applyFont="1" applyFill="1" applyBorder="1" applyAlignment="1">
      <alignment horizontal="left"/>
      <protection/>
    </xf>
    <xf numFmtId="0" fontId="73" fillId="21" borderId="3" xfId="0" applyFont="1" applyFill="1" applyBorder="1" applyAlignment="1">
      <alignment horizontal="left"/>
    </xf>
    <xf numFmtId="2" fontId="73" fillId="21" borderId="3" xfId="0" applyNumberFormat="1" applyFont="1" applyFill="1" applyBorder="1" applyAlignment="1">
      <alignment horizontal="center"/>
    </xf>
    <xf numFmtId="3" fontId="0" fillId="21" borderId="3" xfId="0" applyNumberFormat="1" applyFont="1" applyFill="1" applyBorder="1" applyAlignment="1">
      <alignment horizontal="center"/>
    </xf>
    <xf numFmtId="9" fontId="0" fillId="7" borderId="3" xfId="108" applyFont="1" applyFill="1" applyBorder="1" applyAlignment="1" applyProtection="1" quotePrefix="1">
      <alignment horizontal="center"/>
      <protection locked="0"/>
    </xf>
    <xf numFmtId="207" fontId="0" fillId="3" borderId="3" xfId="0" applyNumberFormat="1" applyFill="1" applyBorder="1" applyAlignment="1">
      <alignment horizontal="center"/>
    </xf>
    <xf numFmtId="0" fontId="0" fillId="23" borderId="2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207" fontId="0" fillId="4" borderId="3" xfId="0" applyNumberFormat="1" applyFill="1" applyBorder="1" applyAlignment="1">
      <alignment horizontal="center"/>
    </xf>
    <xf numFmtId="9" fontId="0" fillId="21" borderId="3" xfId="108" applyFont="1" applyFill="1" applyBorder="1" applyAlignment="1">
      <alignment horizontal="center"/>
    </xf>
    <xf numFmtId="1" fontId="0" fillId="21" borderId="3" xfId="0" applyNumberFormat="1" applyFill="1" applyBorder="1" applyAlignment="1">
      <alignment horizontal="center"/>
    </xf>
    <xf numFmtId="1" fontId="0" fillId="3" borderId="3" xfId="99" applyNumberFormat="1" applyFont="1" applyFill="1" applyBorder="1" applyAlignment="1">
      <alignment horizontal="center"/>
      <protection/>
    </xf>
    <xf numFmtId="9" fontId="0" fillId="3" borderId="3" xfId="108" applyFont="1" applyFill="1" applyBorder="1" applyAlignment="1">
      <alignment horizontal="center"/>
    </xf>
    <xf numFmtId="0" fontId="0" fillId="21" borderId="3" xfId="95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3" fontId="49" fillId="23" borderId="0" xfId="108" applyNumberFormat="1" applyFont="1" applyFill="1" applyBorder="1" applyAlignment="1" applyProtection="1">
      <alignment horizontal="right"/>
      <protection locked="0"/>
    </xf>
    <xf numFmtId="201" fontId="0" fillId="3" borderId="3" xfId="108" applyNumberFormat="1" applyFont="1" applyFill="1" applyBorder="1" applyAlignment="1">
      <alignment horizontal="center"/>
    </xf>
    <xf numFmtId="2" fontId="0" fillId="3" borderId="3" xfId="108" applyNumberFormat="1" applyFont="1" applyFill="1" applyBorder="1" applyAlignment="1">
      <alignment horizontal="center"/>
    </xf>
    <xf numFmtId="2" fontId="49" fillId="20" borderId="3" xfId="0" applyNumberFormat="1" applyFont="1" applyFill="1" applyBorder="1" applyAlignment="1">
      <alignment horizontal="center"/>
    </xf>
    <xf numFmtId="0" fontId="0" fillId="23" borderId="3" xfId="0" applyFill="1" applyBorder="1" applyAlignment="1">
      <alignment horizontal="center"/>
    </xf>
    <xf numFmtId="0" fontId="0" fillId="21" borderId="3" xfId="0" applyFill="1" applyBorder="1" applyAlignment="1">
      <alignment horizontal="left"/>
    </xf>
    <xf numFmtId="1" fontId="0" fillId="44" borderId="3" xfId="0" applyNumberFormat="1" applyFont="1" applyFill="1" applyBorder="1" applyAlignment="1">
      <alignment horizontal="center"/>
    </xf>
    <xf numFmtId="1" fontId="0" fillId="21" borderId="3" xfId="108" applyNumberFormat="1" applyFont="1" applyFill="1" applyBorder="1" applyAlignment="1">
      <alignment horizontal="center"/>
    </xf>
    <xf numFmtId="3" fontId="0" fillId="7" borderId="3" xfId="0" applyNumberFormat="1" applyFill="1" applyBorder="1" applyAlignment="1">
      <alignment horizontal="center"/>
    </xf>
    <xf numFmtId="9" fontId="0" fillId="21" borderId="3" xfId="108" applyNumberFormat="1" applyFont="1" applyFill="1" applyBorder="1" applyAlignment="1">
      <alignment horizontal="center"/>
    </xf>
    <xf numFmtId="3" fontId="0" fillId="3" borderId="3" xfId="95" applyNumberFormat="1" applyFont="1" applyFill="1" applyBorder="1" applyAlignment="1">
      <alignment horizontal="center" wrapText="1"/>
      <protection/>
    </xf>
    <xf numFmtId="1" fontId="0" fillId="3" borderId="19" xfId="0" applyNumberFormat="1" applyFont="1" applyFill="1" applyBorder="1" applyAlignment="1">
      <alignment horizontal="center"/>
    </xf>
    <xf numFmtId="3" fontId="70" fillId="8" borderId="3" xfId="95" applyNumberFormat="1" applyFont="1" applyFill="1" applyBorder="1" applyAlignment="1">
      <alignment horizontal="center" wrapText="1"/>
      <protection/>
    </xf>
    <xf numFmtId="0" fontId="0" fillId="5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1" fillId="23" borderId="23" xfId="0" applyFont="1" applyFill="1" applyBorder="1" applyAlignment="1">
      <alignment horizontal="left"/>
    </xf>
    <xf numFmtId="0" fontId="49" fillId="23" borderId="24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14" xfId="0" applyFill="1" applyBorder="1" applyAlignment="1">
      <alignment horizontal="left"/>
    </xf>
    <xf numFmtId="0" fontId="0" fillId="23" borderId="9" xfId="0" applyFill="1" applyBorder="1" applyAlignment="1">
      <alignment/>
    </xf>
    <xf numFmtId="0" fontId="0" fillId="23" borderId="20" xfId="0" applyFill="1" applyBorder="1" applyAlignment="1">
      <alignment horizontal="left"/>
    </xf>
    <xf numFmtId="0" fontId="0" fillId="23" borderId="10" xfId="0" applyFill="1" applyBorder="1" applyAlignment="1">
      <alignment/>
    </xf>
    <xf numFmtId="0" fontId="0" fillId="23" borderId="21" xfId="0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7" borderId="3" xfId="108" applyNumberFormat="1" applyFont="1" applyFill="1" applyBorder="1" applyAlignment="1" applyProtection="1" quotePrefix="1">
      <alignment horizontal="center"/>
      <protection locked="0"/>
    </xf>
    <xf numFmtId="0" fontId="45" fillId="23" borderId="24" xfId="96" applyFont="1" applyFill="1" applyBorder="1" applyAlignment="1">
      <alignment/>
    </xf>
    <xf numFmtId="0" fontId="0" fillId="23" borderId="25" xfId="0" applyFill="1" applyBorder="1" applyAlignment="1">
      <alignment/>
    </xf>
    <xf numFmtId="0" fontId="49" fillId="34" borderId="3" xfId="0" applyFont="1" applyFill="1" applyBorder="1" applyAlignment="1">
      <alignment horizontal="center"/>
    </xf>
    <xf numFmtId="0" fontId="67" fillId="34" borderId="3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0" fillId="23" borderId="24" xfId="0" applyFill="1" applyBorder="1" applyAlignment="1">
      <alignment/>
    </xf>
    <xf numFmtId="203" fontId="0" fillId="21" borderId="3" xfId="0" applyNumberFormat="1" applyFont="1" applyFill="1" applyBorder="1" applyAlignment="1">
      <alignment horizontal="center"/>
    </xf>
    <xf numFmtId="3" fontId="0" fillId="8" borderId="3" xfId="108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201" fontId="49" fillId="0" borderId="0" xfId="108" applyNumberFormat="1" applyFont="1" applyFill="1" applyBorder="1" applyAlignment="1">
      <alignment horizontal="left"/>
    </xf>
    <xf numFmtId="1" fontId="0" fillId="8" borderId="3" xfId="108" applyNumberFormat="1" applyFont="1" applyFill="1" applyBorder="1" applyAlignment="1">
      <alignment horizontal="center"/>
    </xf>
    <xf numFmtId="9" fontId="0" fillId="23" borderId="0" xfId="0" applyNumberFormat="1" applyFill="1" applyAlignment="1">
      <alignment/>
    </xf>
    <xf numFmtId="0" fontId="0" fillId="23" borderId="3" xfId="95" applyFont="1" applyFill="1" applyBorder="1" applyAlignment="1" quotePrefix="1">
      <alignment horizontal="center"/>
      <protection/>
    </xf>
    <xf numFmtId="203" fontId="46" fillId="21" borderId="3" xfId="108" applyNumberFormat="1" applyFont="1" applyFill="1" applyBorder="1" applyAlignment="1">
      <alignment horizontal="center"/>
    </xf>
    <xf numFmtId="201" fontId="43" fillId="23" borderId="0" xfId="108" applyNumberFormat="1" applyFont="1" applyFill="1" applyBorder="1" applyAlignment="1">
      <alignment/>
    </xf>
    <xf numFmtId="201" fontId="43" fillId="23" borderId="0" xfId="108" applyNumberFormat="1" applyFont="1" applyFill="1" applyAlignment="1" applyProtection="1">
      <alignment/>
      <protection locked="0"/>
    </xf>
    <xf numFmtId="201" fontId="54" fillId="23" borderId="0" xfId="108" applyNumberFormat="1" applyFont="1" applyFill="1" applyAlignment="1">
      <alignment horizontal="center"/>
    </xf>
    <xf numFmtId="9" fontId="46" fillId="2" borderId="3" xfId="108" applyFont="1" applyFill="1" applyBorder="1" applyAlignment="1">
      <alignment horizontal="center"/>
    </xf>
    <xf numFmtId="0" fontId="0" fillId="20" borderId="3" xfId="138" applyNumberFormat="1" applyFont="1" applyFill="1" applyBorder="1" applyAlignment="1">
      <alignment horizontal="left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9" fontId="49" fillId="24" borderId="3" xfId="108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201" fontId="0" fillId="15" borderId="3" xfId="108" applyNumberFormat="1" applyFont="1" applyFill="1" applyBorder="1" applyAlignment="1">
      <alignment horizontal="center"/>
    </xf>
    <xf numFmtId="0" fontId="61" fillId="23" borderId="0" xfId="0" applyFont="1" applyFill="1" applyAlignment="1">
      <alignment horizontal="center"/>
    </xf>
    <xf numFmtId="0" fontId="51" fillId="23" borderId="0" xfId="0" applyFont="1" applyFill="1" applyAlignment="1">
      <alignment horizontal="left"/>
    </xf>
    <xf numFmtId="0" fontId="85" fillId="23" borderId="0" xfId="0" applyFont="1" applyFill="1" applyAlignment="1">
      <alignment horizontal="center"/>
    </xf>
    <xf numFmtId="203" fontId="0" fillId="8" borderId="3" xfId="0" applyNumberFormat="1" applyFont="1" applyFill="1" applyBorder="1" applyAlignment="1">
      <alignment horizontal="center"/>
    </xf>
    <xf numFmtId="0" fontId="61" fillId="23" borderId="0" xfId="0" applyFont="1" applyFill="1" applyAlignment="1">
      <alignment/>
    </xf>
    <xf numFmtId="0" fontId="51" fillId="23" borderId="0" xfId="0" applyFont="1" applyFill="1" applyAlignment="1">
      <alignment/>
    </xf>
    <xf numFmtId="2" fontId="0" fillId="21" borderId="3" xfId="108" applyNumberFormat="1" applyFont="1" applyFill="1" applyBorder="1" applyAlignment="1">
      <alignment horizontal="center"/>
    </xf>
    <xf numFmtId="0" fontId="0" fillId="24" borderId="3" xfId="0" applyFont="1" applyFill="1" applyBorder="1" applyAlignment="1">
      <alignment/>
    </xf>
    <xf numFmtId="3" fontId="49" fillId="24" borderId="3" xfId="0" applyNumberFormat="1" applyFont="1" applyFill="1" applyBorder="1" applyAlignment="1">
      <alignment horizontal="left"/>
    </xf>
    <xf numFmtId="0" fontId="49" fillId="24" borderId="3" xfId="0" applyFont="1" applyFill="1" applyBorder="1" applyAlignment="1">
      <alignment horizontal="left"/>
    </xf>
    <xf numFmtId="0" fontId="49" fillId="24" borderId="3" xfId="95" applyFont="1" applyFill="1" applyBorder="1" applyAlignment="1">
      <alignment horizontal="center"/>
      <protection/>
    </xf>
    <xf numFmtId="0" fontId="49" fillId="24" borderId="3" xfId="95" applyFont="1" applyFill="1" applyBorder="1" applyAlignment="1" quotePrefix="1">
      <alignment horizontal="center"/>
      <protection/>
    </xf>
    <xf numFmtId="3" fontId="0" fillId="14" borderId="3" xfId="0" applyNumberFormat="1" applyFont="1" applyFill="1" applyBorder="1" applyAlignment="1">
      <alignment horizontal="center"/>
    </xf>
    <xf numFmtId="1" fontId="46" fillId="21" borderId="3" xfId="108" applyNumberFormat="1" applyFont="1" applyFill="1" applyBorder="1" applyAlignment="1">
      <alignment horizontal="center"/>
    </xf>
    <xf numFmtId="0" fontId="49" fillId="20" borderId="15" xfId="0" applyFont="1" applyFill="1" applyBorder="1" applyAlignment="1">
      <alignment/>
    </xf>
    <xf numFmtId="0" fontId="46" fillId="21" borderId="3" xfId="108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197" fontId="0" fillId="8" borderId="3" xfId="95" applyNumberFormat="1" applyFont="1" applyFill="1" applyBorder="1" applyAlignment="1">
      <alignment horizontal="center"/>
      <protection/>
    </xf>
    <xf numFmtId="0" fontId="46" fillId="21" borderId="3" xfId="51" applyNumberFormat="1" applyFont="1" applyFill="1" applyBorder="1" applyAlignment="1">
      <alignment horizontal="center"/>
    </xf>
    <xf numFmtId="208" fontId="46" fillId="21" borderId="3" xfId="51" applyNumberFormat="1" applyFont="1" applyFill="1" applyBorder="1" applyAlignment="1">
      <alignment horizontal="center"/>
    </xf>
    <xf numFmtId="3" fontId="49" fillId="20" borderId="3" xfId="138" applyNumberFormat="1" applyFont="1" applyFill="1" applyBorder="1" applyAlignment="1">
      <alignment horizontal="center" wrapText="1"/>
      <protection/>
    </xf>
    <xf numFmtId="0" fontId="88" fillId="23" borderId="0" xfId="0" applyFont="1" applyFill="1" applyAlignment="1">
      <alignment horizontal="left"/>
    </xf>
    <xf numFmtId="0" fontId="0" fillId="0" borderId="0" xfId="0" applyBorder="1" applyAlignment="1">
      <alignment/>
    </xf>
    <xf numFmtId="201" fontId="49" fillId="7" borderId="3" xfId="108" applyNumberFormat="1" applyFont="1" applyFill="1" applyBorder="1" applyAlignment="1">
      <alignment horizontal="center"/>
    </xf>
    <xf numFmtId="0" fontId="49" fillId="23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1" fontId="49" fillId="23" borderId="0" xfId="0" applyNumberFormat="1" applyFont="1" applyFill="1" applyAlignment="1">
      <alignment horizontal="left"/>
    </xf>
    <xf numFmtId="0" fontId="49" fillId="20" borderId="3" xfId="95" applyFont="1" applyFill="1" applyBorder="1" applyAlignment="1">
      <alignment horizontal="left" wrapText="1"/>
      <protection/>
    </xf>
    <xf numFmtId="2" fontId="0" fillId="22" borderId="3" xfId="0" applyNumberFormat="1" applyFont="1" applyFill="1" applyBorder="1" applyAlignment="1">
      <alignment horizontal="center"/>
    </xf>
    <xf numFmtId="0" fontId="49" fillId="20" borderId="19" xfId="0" applyFont="1" applyFill="1" applyBorder="1" applyAlignment="1">
      <alignment/>
    </xf>
    <xf numFmtId="0" fontId="49" fillId="20" borderId="3" xfId="0" applyFont="1" applyFill="1" applyBorder="1" applyAlignment="1">
      <alignment/>
    </xf>
    <xf numFmtId="0" fontId="49" fillId="23" borderId="0" xfId="0" applyFont="1" applyFill="1" applyAlignment="1">
      <alignment/>
    </xf>
    <xf numFmtId="0" fontId="89" fillId="23" borderId="0" xfId="0" applyFont="1" applyFill="1" applyAlignment="1">
      <alignment/>
    </xf>
    <xf numFmtId="3" fontId="0" fillId="22" borderId="3" xfId="0" applyNumberFormat="1" applyFont="1" applyFill="1" applyBorder="1" applyAlignment="1">
      <alignment horizontal="center"/>
    </xf>
    <xf numFmtId="0" fontId="49" fillId="20" borderId="17" xfId="0" applyFont="1" applyFill="1" applyBorder="1" applyAlignment="1">
      <alignment horizontal="left"/>
    </xf>
    <xf numFmtId="0" fontId="0" fillId="22" borderId="3" xfId="0" applyFill="1" applyBorder="1" applyAlignment="1">
      <alignment horizontal="center"/>
    </xf>
    <xf numFmtId="0" fontId="0" fillId="11" borderId="23" xfId="0" applyFont="1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14" xfId="0" applyFill="1" applyBorder="1" applyAlignment="1">
      <alignment/>
    </xf>
    <xf numFmtId="0" fontId="49" fillId="11" borderId="0" xfId="0" applyFon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21" xfId="0" applyFill="1" applyBorder="1" applyAlignment="1">
      <alignment/>
    </xf>
    <xf numFmtId="0" fontId="49" fillId="20" borderId="15" xfId="0" applyFont="1" applyFill="1" applyBorder="1" applyAlignment="1">
      <alignment horizontal="left"/>
    </xf>
    <xf numFmtId="0" fontId="49" fillId="20" borderId="3" xfId="138" applyFont="1" applyFill="1" applyBorder="1" applyAlignment="1">
      <alignment horizontal="center" wrapText="1"/>
      <protection/>
    </xf>
    <xf numFmtId="201" fontId="49" fillId="20" borderId="3" xfId="108" applyNumberFormat="1" applyFont="1" applyFill="1" applyBorder="1" applyAlignment="1">
      <alignment horizontal="center" wrapText="1"/>
    </xf>
    <xf numFmtId="201" fontId="49" fillId="23" borderId="0" xfId="0" applyNumberFormat="1" applyFont="1" applyFill="1" applyAlignment="1">
      <alignment/>
    </xf>
    <xf numFmtId="2" fontId="0" fillId="8" borderId="3" xfId="108" applyNumberFormat="1" applyFont="1" applyFill="1" applyBorder="1" applyAlignment="1">
      <alignment horizontal="center"/>
    </xf>
    <xf numFmtId="0" fontId="49" fillId="20" borderId="3" xfId="95" applyFont="1" applyFill="1" applyBorder="1">
      <alignment/>
      <protection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22" borderId="3" xfId="108" applyNumberFormat="1" applyFont="1" applyFill="1" applyBorder="1" applyAlignment="1">
      <alignment horizontal="center"/>
    </xf>
    <xf numFmtId="0" fontId="0" fillId="21" borderId="3" xfId="138" applyNumberFormat="1" applyFont="1" applyFill="1" applyBorder="1" applyAlignment="1">
      <alignment horizontal="left"/>
      <protection/>
    </xf>
    <xf numFmtId="0" fontId="0" fillId="21" borderId="19" xfId="0" applyFont="1" applyFill="1" applyBorder="1" applyAlignment="1">
      <alignment/>
    </xf>
    <xf numFmtId="0" fontId="49" fillId="20" borderId="3" xfId="0" applyFont="1" applyFill="1" applyBorder="1" applyAlignment="1">
      <alignment horizontal="center" wrapText="1"/>
    </xf>
    <xf numFmtId="0" fontId="49" fillId="0" borderId="3" xfId="95" applyFont="1" applyFill="1" applyBorder="1">
      <alignment/>
      <protection/>
    </xf>
    <xf numFmtId="4" fontId="0" fillId="21" borderId="3" xfId="0" applyNumberFormat="1" applyFont="1" applyFill="1" applyBorder="1" applyAlignment="1">
      <alignment horizontal="center"/>
    </xf>
    <xf numFmtId="0" fontId="0" fillId="21" borderId="3" xfId="0" applyFont="1" applyFill="1" applyBorder="1" applyAlignment="1">
      <alignment horizontal="center" wrapText="1"/>
    </xf>
    <xf numFmtId="0" fontId="0" fillId="42" borderId="17" xfId="0" applyFont="1" applyFill="1" applyBorder="1" applyAlignment="1">
      <alignment/>
    </xf>
    <xf numFmtId="0" fontId="49" fillId="20" borderId="3" xfId="95" applyFont="1" applyFill="1" applyBorder="1" applyAlignment="1">
      <alignment horizontal="center" wrapText="1"/>
      <protection/>
    </xf>
    <xf numFmtId="0" fontId="0" fillId="32" borderId="19" xfId="0" applyFont="1" applyFill="1" applyBorder="1" applyAlignment="1">
      <alignment/>
    </xf>
    <xf numFmtId="0" fontId="49" fillId="34" borderId="3" xfId="0" applyFont="1" applyFill="1" applyBorder="1" applyAlignment="1">
      <alignment/>
    </xf>
    <xf numFmtId="0" fontId="0" fillId="23" borderId="3" xfId="95" applyFont="1" applyFill="1" applyBorder="1" applyAlignment="1">
      <alignment horizontal="left"/>
      <protection/>
    </xf>
    <xf numFmtId="0" fontId="43" fillId="32" borderId="0" xfId="0" applyFont="1" applyFill="1" applyAlignment="1">
      <alignment/>
    </xf>
    <xf numFmtId="0" fontId="43" fillId="23" borderId="0" xfId="0" applyFont="1" applyFill="1" applyAlignment="1">
      <alignment horizontal="left"/>
    </xf>
    <xf numFmtId="0" fontId="0" fillId="0" borderId="3" xfId="0" applyFont="1" applyFill="1" applyBorder="1" applyAlignment="1">
      <alignment/>
    </xf>
    <xf numFmtId="0" fontId="43" fillId="23" borderId="0" xfId="96" applyFont="1" applyFill="1" applyAlignment="1">
      <alignment/>
    </xf>
    <xf numFmtId="0" fontId="44" fillId="20" borderId="0" xfId="97" applyFont="1" applyFill="1" applyBorder="1" applyAlignment="1">
      <alignment horizontal="center"/>
    </xf>
    <xf numFmtId="1" fontId="0" fillId="8" borderId="3" xfId="95" applyNumberFormat="1" applyFont="1" applyFill="1" applyBorder="1" applyAlignment="1">
      <alignment horizontal="center"/>
      <protection/>
    </xf>
    <xf numFmtId="197" fontId="0" fillId="0" borderId="3" xfId="0" applyNumberFormat="1" applyFont="1" applyBorder="1" applyAlignment="1">
      <alignment horizontal="left"/>
    </xf>
    <xf numFmtId="197" fontId="0" fillId="0" borderId="3" xfId="0" applyNumberFormat="1" applyFont="1" applyBorder="1" applyAlignment="1">
      <alignment horizontal="left"/>
    </xf>
    <xf numFmtId="0" fontId="0" fillId="23" borderId="3" xfId="95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 horizontal="left"/>
    </xf>
    <xf numFmtId="0" fontId="0" fillId="0" borderId="3" xfId="95" applyFont="1" applyFill="1" applyBorder="1" applyAlignme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left"/>
    </xf>
    <xf numFmtId="0" fontId="49" fillId="23" borderId="0" xfId="0" applyFont="1" applyFill="1" applyBorder="1" applyAlignment="1">
      <alignment horizontal="left"/>
    </xf>
    <xf numFmtId="0" fontId="0" fillId="23" borderId="3" xfId="138" applyFont="1" applyFill="1" applyBorder="1">
      <alignment/>
      <protection/>
    </xf>
    <xf numFmtId="0" fontId="49" fillId="20" borderId="3" xfId="138" applyFont="1" applyFill="1" applyBorder="1">
      <alignment/>
      <protection/>
    </xf>
    <xf numFmtId="0" fontId="0" fillId="23" borderId="3" xfId="95" applyFont="1" applyFill="1" applyBorder="1" applyAlignment="1">
      <alignment horizontal="center"/>
      <protection/>
    </xf>
    <xf numFmtId="0" fontId="49" fillId="24" borderId="3" xfId="95" applyFont="1" applyFill="1" applyBorder="1">
      <alignment/>
      <protection/>
    </xf>
    <xf numFmtId="3" fontId="49" fillId="24" borderId="3" xfId="0" applyNumberFormat="1" applyFont="1" applyFill="1" applyBorder="1" applyAlignment="1">
      <alignment horizontal="center"/>
    </xf>
    <xf numFmtId="10" fontId="0" fillId="22" borderId="3" xfId="108" applyNumberFormat="1" applyFont="1" applyFill="1" applyBorder="1" applyAlignment="1">
      <alignment horizontal="center"/>
    </xf>
    <xf numFmtId="0" fontId="0" fillId="23" borderId="22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23" borderId="15" xfId="99" applyFont="1" applyFill="1" applyBorder="1" applyAlignment="1">
      <alignment horizontal="left"/>
      <protection/>
    </xf>
    <xf numFmtId="3" fontId="0" fillId="11" borderId="3" xfId="0" applyNumberFormat="1" applyFont="1" applyFill="1" applyBorder="1" applyAlignment="1">
      <alignment horizontal="center"/>
    </xf>
    <xf numFmtId="1" fontId="0" fillId="8" borderId="3" xfId="108" applyNumberFormat="1" applyFont="1" applyFill="1" applyBorder="1" applyAlignment="1" applyProtection="1">
      <alignment horizontal="center"/>
      <protection locked="0"/>
    </xf>
    <xf numFmtId="3" fontId="0" fillId="21" borderId="3" xfId="99" applyNumberFormat="1" applyFont="1" applyFill="1" applyBorder="1" applyAlignment="1">
      <alignment horizontal="center"/>
      <protection/>
    </xf>
    <xf numFmtId="0" fontId="90" fillId="0" borderId="3" xfId="0" applyFont="1" applyFill="1" applyBorder="1" applyAlignment="1">
      <alignment/>
    </xf>
    <xf numFmtId="0" fontId="91" fillId="23" borderId="3" xfId="0" applyFont="1" applyFill="1" applyBorder="1" applyAlignment="1">
      <alignment/>
    </xf>
    <xf numFmtId="0" fontId="0" fillId="0" borderId="3" xfId="138" applyFont="1" applyBorder="1">
      <alignment/>
      <protection/>
    </xf>
    <xf numFmtId="208" fontId="46" fillId="21" borderId="3" xfId="51" applyNumberFormat="1" applyFont="1" applyFill="1" applyBorder="1" applyAlignment="1">
      <alignment horizontal="left"/>
    </xf>
    <xf numFmtId="9" fontId="0" fillId="8" borderId="3" xfId="108" applyNumberFormat="1" applyFont="1" applyFill="1" applyBorder="1" applyAlignment="1">
      <alignment horizontal="center"/>
    </xf>
    <xf numFmtId="201" fontId="0" fillId="21" borderId="3" xfId="108" applyNumberFormat="1" applyFont="1" applyFill="1" applyBorder="1" applyAlignment="1">
      <alignment horizontal="center"/>
    </xf>
    <xf numFmtId="3" fontId="0" fillId="23" borderId="0" xfId="0" applyNumberFormat="1" applyFont="1" applyFill="1" applyAlignment="1">
      <alignment horizontal="center"/>
    </xf>
    <xf numFmtId="9" fontId="0" fillId="8" borderId="3" xfId="108" applyFont="1" applyFill="1" applyBorder="1" applyAlignment="1">
      <alignment horizontal="center"/>
    </xf>
    <xf numFmtId="0" fontId="49" fillId="23" borderId="0" xfId="0" applyFont="1" applyFill="1" applyAlignment="1">
      <alignment wrapText="1"/>
    </xf>
    <xf numFmtId="0" fontId="49" fillId="23" borderId="0" xfId="0" applyFont="1" applyFill="1" applyAlignment="1">
      <alignment/>
    </xf>
    <xf numFmtId="0" fontId="49" fillId="20" borderId="3" xfId="0" applyFont="1" applyFill="1" applyBorder="1" applyAlignment="1">
      <alignment/>
    </xf>
    <xf numFmtId="0" fontId="79" fillId="23" borderId="0" xfId="0" applyFont="1" applyFill="1" applyAlignment="1">
      <alignment/>
    </xf>
    <xf numFmtId="0" fontId="79" fillId="23" borderId="0" xfId="0" applyFont="1" applyFill="1" applyAlignment="1">
      <alignment/>
    </xf>
    <xf numFmtId="0" fontId="77" fillId="31" borderId="0" xfId="0" applyFont="1" applyFill="1" applyAlignment="1">
      <alignment/>
    </xf>
    <xf numFmtId="0" fontId="43" fillId="23" borderId="0" xfId="0" applyFont="1" applyFill="1" applyAlignment="1">
      <alignment horizontal="center"/>
    </xf>
    <xf numFmtId="0" fontId="47" fillId="23" borderId="0" xfId="0" applyFont="1" applyFill="1" applyBorder="1" applyAlignment="1">
      <alignment horizontal="left"/>
    </xf>
    <xf numFmtId="0" fontId="51" fillId="0" borderId="26" xfId="0" applyFont="1" applyFill="1" applyBorder="1" applyAlignment="1">
      <alignment/>
    </xf>
    <xf numFmtId="0" fontId="0" fillId="23" borderId="26" xfId="0" applyFill="1" applyBorder="1" applyAlignment="1">
      <alignment/>
    </xf>
    <xf numFmtId="0" fontId="61" fillId="23" borderId="0" xfId="0" applyFont="1" applyFill="1" applyAlignment="1">
      <alignment horizontal="left" wrapText="1"/>
    </xf>
    <xf numFmtId="0" fontId="61" fillId="23" borderId="26" xfId="0" applyFont="1" applyFill="1" applyBorder="1" applyAlignment="1">
      <alignment horizontal="left"/>
    </xf>
    <xf numFmtId="0" fontId="0" fillId="23" borderId="26" xfId="0" applyFill="1" applyBorder="1" applyAlignment="1">
      <alignment/>
    </xf>
    <xf numFmtId="0" fontId="0" fillId="23" borderId="0" xfId="0" applyFill="1" applyBorder="1" applyAlignment="1">
      <alignment/>
    </xf>
    <xf numFmtId="0" fontId="61" fillId="23" borderId="0" xfId="0" applyFont="1" applyFill="1" applyAlignment="1">
      <alignment horizontal="left"/>
    </xf>
    <xf numFmtId="0" fontId="49" fillId="4" borderId="0" xfId="0" applyFont="1" applyFill="1" applyAlignment="1">
      <alignment/>
    </xf>
    <xf numFmtId="0" fontId="49" fillId="21" borderId="0" xfId="0" applyFont="1" applyFill="1" applyAlignment="1">
      <alignment/>
    </xf>
    <xf numFmtId="0" fontId="49" fillId="3" borderId="0" xfId="0" applyFont="1" applyFill="1" applyAlignment="1">
      <alignment/>
    </xf>
    <xf numFmtId="0" fontId="49" fillId="8" borderId="0" xfId="0" applyFont="1" applyFill="1" applyAlignment="1">
      <alignment/>
    </xf>
    <xf numFmtId="0" fontId="49" fillId="7" borderId="0" xfId="0" applyFont="1" applyFill="1" applyAlignment="1">
      <alignment/>
    </xf>
    <xf numFmtId="0" fontId="49" fillId="3" borderId="0" xfId="0" applyFont="1" applyFill="1" applyAlignment="1">
      <alignment vertical="center" wrapText="1"/>
    </xf>
    <xf numFmtId="0" fontId="53" fillId="23" borderId="0" xfId="0" applyFont="1" applyFill="1" applyAlignment="1">
      <alignment horizontal="center"/>
    </xf>
    <xf numFmtId="0" fontId="63" fillId="17" borderId="0" xfId="0" applyFont="1" applyFill="1" applyBorder="1" applyAlignment="1">
      <alignment horizontal="center"/>
    </xf>
    <xf numFmtId="0" fontId="49" fillId="23" borderId="0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 wrapText="1"/>
    </xf>
    <xf numFmtId="0" fontId="0" fillId="17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95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" fontId="0" fillId="23" borderId="0" xfId="0" applyNumberFormat="1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0" fontId="0" fillId="23" borderId="0" xfId="95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NumberFormat="1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138" applyFont="1" applyFill="1" applyBorder="1" applyAlignment="1">
      <alignment horizontal="left"/>
      <protection/>
    </xf>
    <xf numFmtId="0" fontId="0" fillId="23" borderId="0" xfId="0" applyFont="1" applyFill="1" applyBorder="1" applyAlignment="1">
      <alignment horizontal="left"/>
    </xf>
    <xf numFmtId="0" fontId="0" fillId="23" borderId="0" xfId="0" applyFont="1" applyFill="1" applyBorder="1" applyAlignment="1">
      <alignment horizontal="left"/>
    </xf>
    <xf numFmtId="1" fontId="0" fillId="2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23" borderId="0" xfId="138" applyFont="1" applyFill="1" applyBorder="1" applyAlignment="1">
      <alignment horizontal="left" wrapText="1"/>
      <protection/>
    </xf>
    <xf numFmtId="0" fontId="0" fillId="17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90" fillId="23" borderId="0" xfId="0" applyFont="1" applyFill="1" applyBorder="1" applyAlignment="1">
      <alignment horizontal="left"/>
    </xf>
    <xf numFmtId="0" fontId="91" fillId="23" borderId="0" xfId="0" applyFont="1" applyFill="1" applyBorder="1" applyAlignment="1">
      <alignment horizontal="left"/>
    </xf>
    <xf numFmtId="0" fontId="0" fillId="23" borderId="0" xfId="99" applyFont="1" applyFill="1" applyBorder="1" applyAlignment="1">
      <alignment horizontal="left"/>
      <protection/>
    </xf>
    <xf numFmtId="0" fontId="0" fillId="23" borderId="0" xfId="99" applyFont="1" applyFill="1" applyBorder="1" applyAlignment="1">
      <alignment horizontal="left" wrapText="1"/>
      <protection/>
    </xf>
    <xf numFmtId="0" fontId="0" fillId="23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91" fillId="23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0" fillId="23" borderId="0" xfId="0" applyFont="1" applyFill="1" applyBorder="1" applyAlignment="1">
      <alignment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23" borderId="0" xfId="0" applyFill="1" applyAlignment="1">
      <alignment vertical="center" wrapText="1"/>
    </xf>
    <xf numFmtId="0" fontId="0" fillId="2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17" xfId="0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9" fillId="34" borderId="15" xfId="0" applyFont="1" applyFill="1" applyBorder="1" applyAlignment="1">
      <alignment horizontal="left" wrapText="1"/>
    </xf>
    <xf numFmtId="0" fontId="92" fillId="31" borderId="0" xfId="0" applyFont="1" applyFill="1" applyAlignment="1">
      <alignment wrapText="1"/>
    </xf>
    <xf numFmtId="0" fontId="77" fillId="0" borderId="0" xfId="0" applyFont="1" applyAlignment="1">
      <alignment wrapText="1"/>
    </xf>
    <xf numFmtId="0" fontId="49" fillId="23" borderId="0" xfId="0" applyFont="1" applyFill="1" applyBorder="1" applyAlignment="1">
      <alignment horizontal="left"/>
    </xf>
    <xf numFmtId="0" fontId="50" fillId="23" borderId="0" xfId="0" applyFont="1" applyFill="1" applyAlignment="1">
      <alignment horizontal="left" wrapText="1"/>
    </xf>
    <xf numFmtId="0" fontId="49" fillId="20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9" fillId="2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9" fillId="20" borderId="15" xfId="0" applyFont="1" applyFill="1" applyBorder="1" applyAlignment="1">
      <alignment horizontal="center" wrapText="1"/>
    </xf>
    <xf numFmtId="0" fontId="0" fillId="23" borderId="15" xfId="0" applyFill="1" applyBorder="1" applyAlignment="1">
      <alignment/>
    </xf>
    <xf numFmtId="0" fontId="0" fillId="0" borderId="17" xfId="0" applyBorder="1" applyAlignment="1">
      <alignment/>
    </xf>
    <xf numFmtId="0" fontId="0" fillId="23" borderId="15" xfId="0" applyFont="1" applyFill="1" applyBorder="1" applyAlignment="1">
      <alignment/>
    </xf>
    <xf numFmtId="0" fontId="49" fillId="20" borderId="15" xfId="0" applyFont="1" applyFill="1" applyBorder="1" applyAlignment="1">
      <alignment/>
    </xf>
    <xf numFmtId="0" fontId="49" fillId="0" borderId="15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2" fontId="0" fillId="0" borderId="15" xfId="108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2" fontId="0" fillId="22" borderId="15" xfId="108" applyNumberFormat="1" applyFont="1" applyFill="1" applyBorder="1" applyAlignment="1">
      <alignment horizontal="center" wrapText="1"/>
    </xf>
    <xf numFmtId="0" fontId="0" fillId="22" borderId="16" xfId="0" applyFill="1" applyBorder="1" applyAlignment="1">
      <alignment horizontal="center" wrapText="1"/>
    </xf>
    <xf numFmtId="0" fontId="0" fillId="22" borderId="17" xfId="0" applyFill="1" applyBorder="1" applyAlignment="1">
      <alignment horizontal="center" wrapText="1"/>
    </xf>
    <xf numFmtId="2" fontId="0" fillId="0" borderId="15" xfId="108" applyNumberFormat="1" applyFont="1" applyFill="1" applyBorder="1" applyAlignment="1">
      <alignment horizontal="center" wrapText="1"/>
    </xf>
    <xf numFmtId="0" fontId="49" fillId="20" borderId="15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2" fontId="0" fillId="0" borderId="15" xfId="108" applyNumberFormat="1" applyFont="1" applyFill="1" applyBorder="1" applyAlignment="1">
      <alignment horizontal="center" wrapText="1"/>
    </xf>
    <xf numFmtId="0" fontId="49" fillId="20" borderId="17" xfId="0" applyFont="1" applyFill="1" applyBorder="1" applyAlignment="1">
      <alignment horizontal="center"/>
    </xf>
    <xf numFmtId="0" fontId="49" fillId="20" borderId="22" xfId="95" applyFont="1" applyFill="1" applyBorder="1" applyAlignment="1">
      <alignment horizontal="center" wrapText="1"/>
      <protection/>
    </xf>
    <xf numFmtId="0" fontId="0" fillId="0" borderId="19" xfId="0" applyBorder="1" applyAlignment="1">
      <alignment horizontal="center" wrapText="1"/>
    </xf>
    <xf numFmtId="0" fontId="49" fillId="7" borderId="0" xfId="0" applyFont="1" applyFill="1" applyAlignment="1">
      <alignment horizontal="left" vertical="center"/>
    </xf>
    <xf numFmtId="0" fontId="49" fillId="34" borderId="17" xfId="0" applyFont="1" applyFill="1" applyBorder="1" applyAlignment="1">
      <alignment horizontal="left" wrapText="1"/>
    </xf>
    <xf numFmtId="0" fontId="49" fillId="34" borderId="22" xfId="0" applyFont="1" applyFill="1" applyBorder="1" applyAlignment="1">
      <alignment horizontal="left" wrapText="1"/>
    </xf>
    <xf numFmtId="0" fontId="49" fillId="20" borderId="15" xfId="98" applyFont="1" applyFill="1" applyBorder="1" applyAlignment="1">
      <alignment horizontal="center" wrapText="1"/>
      <protection/>
    </xf>
    <xf numFmtId="3" fontId="49" fillId="20" borderId="15" xfId="138" applyNumberFormat="1" applyFont="1" applyFill="1" applyBorder="1" applyAlignment="1">
      <alignment horizontal="center" wrapText="1"/>
      <protection/>
    </xf>
    <xf numFmtId="0" fontId="49" fillId="20" borderId="16" xfId="138" applyFont="1" applyFill="1" applyBorder="1" applyAlignment="1">
      <alignment horizontal="center" wrapText="1"/>
      <protection/>
    </xf>
    <xf numFmtId="0" fontId="49" fillId="20" borderId="17" xfId="138" applyFont="1" applyFill="1" applyBorder="1" applyAlignment="1">
      <alignment horizontal="center" wrapText="1"/>
      <protection/>
    </xf>
    <xf numFmtId="3" fontId="0" fillId="21" borderId="15" xfId="108" applyNumberFormat="1" applyFont="1" applyFill="1" applyBorder="1" applyAlignment="1">
      <alignment horizontal="center"/>
    </xf>
    <xf numFmtId="3" fontId="0" fillId="21" borderId="16" xfId="108" applyNumberFormat="1" applyFont="1" applyFill="1" applyBorder="1" applyAlignment="1">
      <alignment horizontal="center"/>
    </xf>
    <xf numFmtId="3" fontId="0" fillId="21" borderId="17" xfId="108" applyNumberFormat="1" applyFont="1" applyFill="1" applyBorder="1" applyAlignment="1">
      <alignment horizontal="center"/>
    </xf>
    <xf numFmtId="0" fontId="49" fillId="20" borderId="15" xfId="138" applyFont="1" applyFill="1" applyBorder="1" applyAlignment="1">
      <alignment horizontal="center" wrapText="1"/>
      <protection/>
    </xf>
    <xf numFmtId="0" fontId="0" fillId="0" borderId="16" xfId="0" applyBorder="1" applyAlignment="1">
      <alignment/>
    </xf>
    <xf numFmtId="9" fontId="0" fillId="21" borderId="15" xfId="108" applyFont="1" applyFill="1" applyBorder="1" applyAlignment="1">
      <alignment horizontal="center"/>
    </xf>
    <xf numFmtId="0" fontId="49" fillId="20" borderId="23" xfId="0" applyFont="1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15" xfId="95" applyFont="1" applyFill="1" applyBorder="1" applyAlignment="1">
      <alignment horizontal="center" wrapText="1"/>
      <protection/>
    </xf>
    <xf numFmtId="0" fontId="49" fillId="20" borderId="23" xfId="0" applyFont="1" applyFill="1" applyBorder="1" applyAlignment="1">
      <alignment/>
    </xf>
    <xf numFmtId="0" fontId="49" fillId="34" borderId="15" xfId="0" applyFont="1" applyFill="1" applyBorder="1" applyAlignment="1">
      <alignment wrapText="1"/>
    </xf>
    <xf numFmtId="0" fontId="49" fillId="0" borderId="15" xfId="0" applyFont="1" applyFill="1" applyBorder="1" applyAlignment="1">
      <alignment/>
    </xf>
    <xf numFmtId="0" fontId="49" fillId="20" borderId="15" xfId="0" applyFont="1" applyFill="1" applyBorder="1" applyAlignment="1">
      <alignment/>
    </xf>
    <xf numFmtId="0" fontId="0" fillId="20" borderId="17" xfId="0" applyFill="1" applyBorder="1" applyAlignment="1">
      <alignment/>
    </xf>
    <xf numFmtId="0" fontId="49" fillId="20" borderId="15" xfId="0" applyFont="1" applyFill="1" applyBorder="1" applyAlignment="1">
      <alignment horizontal="left"/>
    </xf>
    <xf numFmtId="0" fontId="0" fillId="20" borderId="17" xfId="0" applyFill="1" applyBorder="1" applyAlignment="1">
      <alignment horizontal="left"/>
    </xf>
    <xf numFmtId="0" fontId="49" fillId="20" borderId="15" xfId="0" applyFont="1" applyFill="1" applyBorder="1" applyAlignment="1">
      <alignment horizontal="left"/>
    </xf>
    <xf numFmtId="0" fontId="49" fillId="20" borderId="16" xfId="0" applyFont="1" applyFill="1" applyBorder="1" applyAlignment="1">
      <alignment horizontal="center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year" xfId="39"/>
    <cellStyle name="actual years" xfId="40"/>
    <cellStyle name="Assumption" xfId="41"/>
    <cellStyle name="assumption/input" xfId="42"/>
    <cellStyle name="assumptions/inputs" xfId="43"/>
    <cellStyle name="Bad" xfId="44"/>
    <cellStyle name="Blue" xfId="45"/>
    <cellStyle name="calculation" xfId="46"/>
    <cellStyle name="Check Cell" xfId="47"/>
    <cellStyle name="Column Heading" xfId="48"/>
    <cellStyle name="Column Heading (No Wrap)" xfId="49"/>
    <cellStyle name="Column Total" xfId="50"/>
    <cellStyle name="Comma" xfId="51"/>
    <cellStyle name="Comma [0]" xfId="52"/>
    <cellStyle name="Comma 0" xfId="53"/>
    <cellStyle name="Comma 2" xfId="54"/>
    <cellStyle name="Currency" xfId="55"/>
    <cellStyle name="Currency [0]" xfId="56"/>
    <cellStyle name="Currency 0" xfId="57"/>
    <cellStyle name="Currency 2" xfId="58"/>
    <cellStyle name="Date" xfId="59"/>
    <cellStyle name="Date Aligned" xfId="60"/>
    <cellStyle name="Date_4_DE_Assumptions" xfId="61"/>
    <cellStyle name="Dotted Line" xfId="62"/>
    <cellStyle name="Entry" xfId="63"/>
    <cellStyle name="Explanatory Text" xfId="64"/>
    <cellStyle name="Fixed" xfId="65"/>
    <cellStyle name="Footnote" xfId="66"/>
    <cellStyle name="forecast year" xfId="67"/>
    <cellStyle name="forecast years" xfId="68"/>
    <cellStyle name="Good" xfId="69"/>
    <cellStyle name="Green" xfId="70"/>
    <cellStyle name="Grey" xfId="71"/>
    <cellStyle name="Hard Percent" xfId="72"/>
    <cellStyle name="Header" xfId="73"/>
    <cellStyle name="Heading" xfId="74"/>
    <cellStyle name="Heading 1" xfId="75"/>
    <cellStyle name="Heading 2" xfId="76"/>
    <cellStyle name="Heading 3" xfId="77"/>
    <cellStyle name="Heading 4" xfId="78"/>
    <cellStyle name="Hide" xfId="79"/>
    <cellStyle name="Highlight" xfId="80"/>
    <cellStyle name="Input" xfId="81"/>
    <cellStyle name="Input [yellow]" xfId="82"/>
    <cellStyle name="Input Link" xfId="83"/>
    <cellStyle name="link" xfId="84"/>
    <cellStyle name="Linked" xfId="85"/>
    <cellStyle name="Linked Cell" xfId="86"/>
    <cellStyle name="Main Title" xfId="87"/>
    <cellStyle name="Monétaire [0]_rwhite" xfId="88"/>
    <cellStyle name="Monétaire_rwhite" xfId="89"/>
    <cellStyle name="Multiple" xfId="90"/>
    <cellStyle name="Multiple2" xfId="91"/>
    <cellStyle name="Name" xfId="92"/>
    <cellStyle name="Neutral" xfId="93"/>
    <cellStyle name="Normal - Style1" xfId="94"/>
    <cellStyle name="Normal_BU FixedModel Data Request (v.2 12Aug)" xfId="95"/>
    <cellStyle name="Normal_Indonesia BU Mobile Network Model (29 Apr 05) v 1.2 (Illustrative Data)" xfId="96"/>
    <cellStyle name="Normal_Routing Table" xfId="97"/>
    <cellStyle name="Normal_SingTel BULRIC Model (v 2.20)" xfId="98"/>
    <cellStyle name="Normal_Style v2(1).3" xfId="99"/>
    <cellStyle name="NormalL_Summary_Summary " xfId="100"/>
    <cellStyle name="Note" xfId="101"/>
    <cellStyle name="notes" xfId="102"/>
    <cellStyle name="Number" xfId="103"/>
    <cellStyle name="Number1" xfId="104"/>
    <cellStyle name="Obsolete" xfId="105"/>
    <cellStyle name="Output" xfId="106"/>
    <cellStyle name="Page Number" xfId="107"/>
    <cellStyle name="Percent" xfId="108"/>
    <cellStyle name="Percent [2]" xfId="109"/>
    <cellStyle name="Percent2" xfId="110"/>
    <cellStyle name="Percent2Margin" xfId="111"/>
    <cellStyle name="Percent3" xfId="112"/>
    <cellStyle name="Percent4" xfId="113"/>
    <cellStyle name="Percent5" xfId="114"/>
    <cellStyle name="Percentage" xfId="115"/>
    <cellStyle name="Pounds" xfId="116"/>
    <cellStyle name="Pounds1" xfId="117"/>
    <cellStyle name="Pounds2" xfId="118"/>
    <cellStyle name="Pounds3" xfId="119"/>
    <cellStyle name="Pounds4" xfId="120"/>
    <cellStyle name="Pounds5" xfId="121"/>
    <cellStyle name="Pounds6" xfId="122"/>
    <cellStyle name="Quarterly" xfId="123"/>
    <cellStyle name="Red" xfId="124"/>
    <cellStyle name="result/output" xfId="125"/>
    <cellStyle name="Row and Column Total" xfId="126"/>
    <cellStyle name="Row Heading" xfId="127"/>
    <cellStyle name="Row Heading (No Wrap)" xfId="128"/>
    <cellStyle name="Row Total" xfId="129"/>
    <cellStyle name="section heading" xfId="130"/>
    <cellStyle name="Section Title" xfId="131"/>
    <cellStyle name="Shaded" xfId="132"/>
    <cellStyle name="Small Number" xfId="133"/>
    <cellStyle name="Small Percentage" xfId="134"/>
    <cellStyle name="source" xfId="135"/>
    <cellStyle name="sources" xfId="136"/>
    <cellStyle name="Standard_BHA_9905" xfId="137"/>
    <cellStyle name="Style 1" xfId="138"/>
    <cellStyle name="Table Head" xfId="139"/>
    <cellStyle name="Table Head Aligned" xfId="140"/>
    <cellStyle name="Table Head Blue" xfId="141"/>
    <cellStyle name="Table Head Green" xfId="142"/>
    <cellStyle name="table heading" xfId="143"/>
    <cellStyle name="table headings" xfId="144"/>
    <cellStyle name="Table Title" xfId="145"/>
    <cellStyle name="Table Units" xfId="146"/>
    <cellStyle name="Thousands" xfId="147"/>
    <cellStyle name="Title" xfId="148"/>
    <cellStyle name="Title Heading" xfId="149"/>
    <cellStyle name="total" xfId="150"/>
    <cellStyle name="ubordinated Debt" xfId="151"/>
    <cellStyle name="Warning Text" xfId="152"/>
    <cellStyle name="WP Header" xfId="153"/>
    <cellStyle name="year" xfId="154"/>
    <cellStyle name="year date" xfId="155"/>
    <cellStyle name="常规_Sheet1" xfId="156"/>
  </cellStyles>
  <dxfs count="2">
    <dxf>
      <font>
        <b/>
        <i val="0"/>
        <color indexed="24"/>
      </font>
    </dxf>
    <dxf>
      <font>
        <b/>
        <i val="0"/>
        <color indexed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costs of call termination - Euro cents per minute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215"/>
          <c:w val="0.9847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Graphs'!$D$80:$E$80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Graphs'!$F$73:$I$73</c:f>
              <c:numCache/>
            </c:numRef>
          </c:cat>
          <c:val>
            <c:numRef>
              <c:f>'E. Graphs'!$F$80:$I$80</c:f>
              <c:numCache/>
            </c:numRef>
          </c:val>
          <c:shape val="box"/>
        </c:ser>
        <c:ser>
          <c:idx val="1"/>
          <c:order val="1"/>
          <c:tx>
            <c:strRef>
              <c:f>'E. Graphs'!$D$81:$E$81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'E. Graphs'!$F$81:$I$81</c:f>
              <c:numCache/>
            </c:numRef>
          </c:val>
          <c:shape val="box"/>
        </c:ser>
        <c:shape val="box"/>
        <c:axId val="46290062"/>
        <c:axId val="13957375"/>
      </c:bar3D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58507512"/>
        <c:axId val="56805561"/>
      </c:bar3D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5"/>
          <c:w val="0.699"/>
          <c:h val="0.92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Graphs'!$D$176</c:f>
              <c:strCache>
                <c:ptCount val="1"/>
                <c:pt idx="0">
                  <c:v>Local termination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Graphs'!$F$176:$I$176</c:f>
              <c:numCache/>
            </c:numRef>
          </c:val>
          <c:shape val="box"/>
        </c:ser>
        <c:ser>
          <c:idx val="1"/>
          <c:order val="1"/>
          <c:tx>
            <c:strRef>
              <c:f>'E. Graphs'!$D$177</c:f>
              <c:strCache>
                <c:ptCount val="1"/>
                <c:pt idx="0">
                  <c:v>National termination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Graphs'!$F$175:$I$175</c:f>
              <c:numCache/>
            </c:numRef>
          </c:cat>
          <c:val>
            <c:numRef>
              <c:f>'E. Graphs'!$F$177:$I$177</c:f>
              <c:numCache/>
            </c:numRef>
          </c:val>
          <c:shape val="box"/>
        </c:ser>
        <c:shape val="box"/>
        <c:axId val="41488002"/>
        <c:axId val="37847699"/>
      </c:bar3D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88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0975"/>
          <c:w val="0.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375"/>
          <c:w val="0.773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'E. Graphs'!$D$90</c:f>
              <c:strCache>
                <c:ptCount val="1"/>
                <c:pt idx="0">
                  <c:v>Moldtelecom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Graphs'!$F$90:$I$90</c:f>
              <c:numCache/>
            </c:numRef>
          </c:val>
          <c:shape val="box"/>
        </c:ser>
        <c:ser>
          <c:idx val="2"/>
          <c:order val="1"/>
          <c:tx>
            <c:strRef>
              <c:f>'E. Graphs'!$D$91</c:f>
              <c:strCache>
                <c:ptCount val="1"/>
                <c:pt idx="0">
                  <c:v>MEO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'E. Graphs'!$F$89:$I$89</c:f>
              <c:numCache/>
            </c:numRef>
          </c:cat>
          <c:val>
            <c:numRef>
              <c:f>'E. Graphs'!$F$91:$I$91</c:f>
              <c:numCache/>
            </c:numRef>
          </c:val>
          <c:shape val="box"/>
        </c:ser>
        <c:shape val="box"/>
        <c:axId val="5084972"/>
        <c:axId val="45764749"/>
      </c:bar3D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125"/>
          <c:w val="0.17325"/>
          <c:h val="0.1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1</xdr:row>
      <xdr:rowOff>133350</xdr:rowOff>
    </xdr:from>
    <xdr:to>
      <xdr:col>11</xdr:col>
      <xdr:colOff>38100</xdr:colOff>
      <xdr:row>5</xdr:row>
      <xdr:rowOff>123825</xdr:rowOff>
    </xdr:to>
    <xdr:pic>
      <xdr:nvPicPr>
        <xdr:cNvPr id="1" name="Picture 7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95275"/>
          <a:ext cx="2533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0</xdr:rowOff>
    </xdr:from>
    <xdr:to>
      <xdr:col>3</xdr:col>
      <xdr:colOff>1133475</xdr:colOff>
      <xdr:row>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61925"/>
          <a:ext cx="213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104775</xdr:rowOff>
    </xdr:from>
    <xdr:to>
      <xdr:col>6</xdr:col>
      <xdr:colOff>28575</xdr:colOff>
      <xdr:row>5</xdr:row>
      <xdr:rowOff>66675</xdr:rowOff>
    </xdr:to>
    <xdr:pic>
      <xdr:nvPicPr>
        <xdr:cNvPr id="3" name="Picture 2" descr="long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6670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11</xdr:row>
      <xdr:rowOff>85725</xdr:rowOff>
    </xdr:from>
    <xdr:to>
      <xdr:col>4</xdr:col>
      <xdr:colOff>1200150</xdr:colOff>
      <xdr:row>15</xdr:row>
      <xdr:rowOff>57150</xdr:rowOff>
    </xdr:to>
    <xdr:pic>
      <xdr:nvPicPr>
        <xdr:cNvPr id="4" name="Picture 1" descr="ger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2085975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10</xdr:row>
      <xdr:rowOff>114300</xdr:rowOff>
    </xdr:from>
    <xdr:to>
      <xdr:col>12</xdr:col>
      <xdr:colOff>495300</xdr:colOff>
      <xdr:row>15</xdr:row>
      <xdr:rowOff>47625</xdr:rowOff>
    </xdr:to>
    <xdr:sp>
      <xdr:nvSpPr>
        <xdr:cNvPr id="1" name="Text Box 61"/>
        <xdr:cNvSpPr txBox="1">
          <a:spLocks noChangeAspect="1" noChangeArrowheads="1"/>
        </xdr:cNvSpPr>
      </xdr:nvSpPr>
      <xdr:spPr>
        <a:xfrm>
          <a:off x="6838950" y="190500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Service costing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228600</xdr:colOff>
      <xdr:row>11</xdr:row>
      <xdr:rowOff>0</xdr:rowOff>
    </xdr:from>
    <xdr:to>
      <xdr:col>5</xdr:col>
      <xdr:colOff>142875</xdr:colOff>
      <xdr:row>15</xdr:row>
      <xdr:rowOff>95250</xdr:rowOff>
    </xdr:to>
    <xdr:sp>
      <xdr:nvSpPr>
        <xdr:cNvPr id="2" name="Text Box 62"/>
        <xdr:cNvSpPr txBox="1">
          <a:spLocks noChangeAspect="1" noChangeArrowheads="1"/>
        </xdr:cNvSpPr>
      </xdr:nvSpPr>
      <xdr:spPr>
        <a:xfrm>
          <a:off x="2057400" y="1952625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Traffic</a:t>
          </a:r>
        </a:p>
      </xdr:txBody>
    </xdr:sp>
    <xdr:clientData/>
  </xdr:twoCellAnchor>
  <xdr:twoCellAnchor>
    <xdr:from>
      <xdr:col>3</xdr:col>
      <xdr:colOff>228600</xdr:colOff>
      <xdr:row>5</xdr:row>
      <xdr:rowOff>47625</xdr:rowOff>
    </xdr:from>
    <xdr:to>
      <xdr:col>5</xdr:col>
      <xdr:colOff>142875</xdr:colOff>
      <xdr:row>9</xdr:row>
      <xdr:rowOff>142875</xdr:rowOff>
    </xdr:to>
    <xdr:sp>
      <xdr:nvSpPr>
        <xdr:cNvPr id="3" name="Text Box 63"/>
        <xdr:cNvSpPr txBox="1">
          <a:spLocks noChangeAspect="1" noChangeArrowheads="1"/>
        </xdr:cNvSpPr>
      </xdr:nvSpPr>
      <xdr:spPr>
        <a:xfrm>
          <a:off x="2057400" y="1028700"/>
          <a:ext cx="113347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1.Subscribers</a:t>
          </a:r>
        </a:p>
      </xdr:txBody>
    </xdr:sp>
    <xdr:clientData/>
  </xdr:twoCellAnchor>
  <xdr:twoCellAnchor>
    <xdr:from>
      <xdr:col>11</xdr:col>
      <xdr:colOff>123825</xdr:colOff>
      <xdr:row>18</xdr:row>
      <xdr:rowOff>57150</xdr:rowOff>
    </xdr:from>
    <xdr:to>
      <xdr:col>12</xdr:col>
      <xdr:colOff>485775</xdr:colOff>
      <xdr:row>22</xdr:row>
      <xdr:rowOff>152400</xdr:rowOff>
    </xdr:to>
    <xdr:sp>
      <xdr:nvSpPr>
        <xdr:cNvPr id="4" name="Text Box 64"/>
        <xdr:cNvSpPr txBox="1">
          <a:spLocks noChangeAspect="1" noChangeArrowheads="1"/>
        </xdr:cNvSpPr>
      </xdr:nvSpPr>
      <xdr:spPr>
        <a:xfrm>
          <a:off x="6829425" y="3143250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Routing factors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361950</xdr:colOff>
      <xdr:row>10</xdr:row>
      <xdr:rowOff>123825</xdr:rowOff>
    </xdr:from>
    <xdr:to>
      <xdr:col>15</xdr:col>
      <xdr:colOff>114300</xdr:colOff>
      <xdr:row>15</xdr:row>
      <xdr:rowOff>57150</xdr:rowOff>
    </xdr:to>
    <xdr:sp>
      <xdr:nvSpPr>
        <xdr:cNvPr id="5" name="Text Box 65"/>
        <xdr:cNvSpPr txBox="1">
          <a:spLocks noChangeAspect="1" noChangeArrowheads="1"/>
        </xdr:cNvSpPr>
      </xdr:nvSpPr>
      <xdr:spPr>
        <a:xfrm>
          <a:off x="8286750" y="191452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Service pricing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371475</xdr:colOff>
      <xdr:row>3</xdr:row>
      <xdr:rowOff>57150</xdr:rowOff>
    </xdr:from>
    <xdr:to>
      <xdr:col>15</xdr:col>
      <xdr:colOff>123825</xdr:colOff>
      <xdr:row>7</xdr:row>
      <xdr:rowOff>152400</xdr:rowOff>
    </xdr:to>
    <xdr:sp>
      <xdr:nvSpPr>
        <xdr:cNvPr id="6" name="Text Box 66"/>
        <xdr:cNvSpPr txBox="1">
          <a:spLocks noChangeAspect="1" noChangeArrowheads="1"/>
        </xdr:cNvSpPr>
      </xdr:nvSpPr>
      <xdr:spPr>
        <a:xfrm>
          <a:off x="8296275" y="714375"/>
          <a:ext cx="971550" cy="742950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Mark-ups</a:t>
          </a:r>
        </a:p>
      </xdr:txBody>
    </xdr:sp>
    <xdr:clientData/>
  </xdr:twoCellAnchor>
  <xdr:twoCellAnchor>
    <xdr:from>
      <xdr:col>5</xdr:col>
      <xdr:colOff>266700</xdr:colOff>
      <xdr:row>11</xdr:row>
      <xdr:rowOff>66675</xdr:rowOff>
    </xdr:from>
    <xdr:to>
      <xdr:col>6</xdr:col>
      <xdr:colOff>0</xdr:colOff>
      <xdr:row>14</xdr:row>
      <xdr:rowOff>114300</xdr:rowOff>
    </xdr:to>
    <xdr:sp>
      <xdr:nvSpPr>
        <xdr:cNvPr id="7" name="AutoShape 67"/>
        <xdr:cNvSpPr>
          <a:spLocks noChangeAspect="1"/>
        </xdr:cNvSpPr>
      </xdr:nvSpPr>
      <xdr:spPr>
        <a:xfrm>
          <a:off x="3314700" y="201930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11</xdr:row>
      <xdr:rowOff>9525</xdr:rowOff>
    </xdr:from>
    <xdr:to>
      <xdr:col>13</xdr:col>
      <xdr:colOff>304800</xdr:colOff>
      <xdr:row>14</xdr:row>
      <xdr:rowOff>57150</xdr:rowOff>
    </xdr:to>
    <xdr:sp>
      <xdr:nvSpPr>
        <xdr:cNvPr id="8" name="AutoShape 69"/>
        <xdr:cNvSpPr>
          <a:spLocks noChangeAspect="1"/>
        </xdr:cNvSpPr>
      </xdr:nvSpPr>
      <xdr:spPr>
        <a:xfrm>
          <a:off x="7886700" y="19621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10</xdr:row>
      <xdr:rowOff>142875</xdr:rowOff>
    </xdr:from>
    <xdr:to>
      <xdr:col>10</xdr:col>
      <xdr:colOff>123825</xdr:colOff>
      <xdr:row>15</xdr:row>
      <xdr:rowOff>66675</xdr:rowOff>
    </xdr:to>
    <xdr:sp>
      <xdr:nvSpPr>
        <xdr:cNvPr id="9" name="Text Box 70"/>
        <xdr:cNvSpPr txBox="1">
          <a:spLocks noChangeAspect="1" noChangeArrowheads="1"/>
        </xdr:cNvSpPr>
      </xdr:nvSpPr>
      <xdr:spPr>
        <a:xfrm>
          <a:off x="5210175" y="1933575"/>
          <a:ext cx="1009650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Network costing</a:t>
          </a:r>
        </a:p>
      </xdr:txBody>
    </xdr:sp>
    <xdr:clientData/>
  </xdr:twoCellAnchor>
  <xdr:twoCellAnchor>
    <xdr:from>
      <xdr:col>6</xdr:col>
      <xdr:colOff>47625</xdr:colOff>
      <xdr:row>10</xdr:row>
      <xdr:rowOff>133350</xdr:rowOff>
    </xdr:from>
    <xdr:to>
      <xdr:col>7</xdr:col>
      <xdr:colOff>457200</xdr:colOff>
      <xdr:row>15</xdr:row>
      <xdr:rowOff>57150</xdr:rowOff>
    </xdr:to>
    <xdr:sp>
      <xdr:nvSpPr>
        <xdr:cNvPr id="10" name="Text Box 71"/>
        <xdr:cNvSpPr txBox="1">
          <a:spLocks noChangeAspect="1" noChangeArrowheads="1"/>
        </xdr:cNvSpPr>
      </xdr:nvSpPr>
      <xdr:spPr>
        <a:xfrm>
          <a:off x="3705225" y="1924050"/>
          <a:ext cx="1019175" cy="733425"/>
        </a:xfrm>
        <a:prstGeom prst="rect">
          <a:avLst/>
        </a:prstGeom>
        <a:solidFill>
          <a:srgbClr val="99CC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Network design
</a:t>
          </a:r>
        </a:p>
      </xdr:txBody>
    </xdr:sp>
    <xdr:clientData/>
  </xdr:twoCellAnchor>
  <xdr:twoCellAnchor>
    <xdr:from>
      <xdr:col>3</xdr:col>
      <xdr:colOff>266700</xdr:colOff>
      <xdr:row>16</xdr:row>
      <xdr:rowOff>47625</xdr:rowOff>
    </xdr:from>
    <xdr:to>
      <xdr:col>5</xdr:col>
      <xdr:colOff>161925</xdr:colOff>
      <xdr:row>20</xdr:row>
      <xdr:rowOff>142875</xdr:rowOff>
    </xdr:to>
    <xdr:sp>
      <xdr:nvSpPr>
        <xdr:cNvPr id="11" name="Text Box 72"/>
        <xdr:cNvSpPr txBox="1">
          <a:spLocks noChangeAspect="1" noChangeArrowheads="1"/>
        </xdr:cNvSpPr>
      </xdr:nvSpPr>
      <xdr:spPr>
        <a:xfrm>
          <a:off x="2095500" y="2809875"/>
          <a:ext cx="1114425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Network design parameters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352425</xdr:colOff>
      <xdr:row>3</xdr:row>
      <xdr:rowOff>76200</xdr:rowOff>
    </xdr:from>
    <xdr:to>
      <xdr:col>10</xdr:col>
      <xdr:colOff>161925</xdr:colOff>
      <xdr:row>8</xdr:row>
      <xdr:rowOff>0</xdr:rowOff>
    </xdr:to>
    <xdr:sp>
      <xdr:nvSpPr>
        <xdr:cNvPr id="12" name="Text Box 73"/>
        <xdr:cNvSpPr txBox="1">
          <a:spLocks noChangeAspect="1" noChangeArrowheads="1"/>
        </xdr:cNvSpPr>
      </xdr:nvSpPr>
      <xdr:spPr>
        <a:xfrm>
          <a:off x="5229225" y="733425"/>
          <a:ext cx="1028700" cy="733425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Unit investment and opex</a:t>
          </a:r>
        </a:p>
      </xdr:txBody>
    </xdr:sp>
    <xdr:clientData/>
  </xdr:twoCellAnchor>
  <xdr:twoCellAnchor>
    <xdr:from>
      <xdr:col>8</xdr:col>
      <xdr:colOff>600075</xdr:colOff>
      <xdr:row>8</xdr:row>
      <xdr:rowOff>66675</xdr:rowOff>
    </xdr:from>
    <xdr:to>
      <xdr:col>9</xdr:col>
      <xdr:colOff>485775</xdr:colOff>
      <xdr:row>10</xdr:row>
      <xdr:rowOff>104775</xdr:rowOff>
    </xdr:to>
    <xdr:sp>
      <xdr:nvSpPr>
        <xdr:cNvPr id="13" name="AutoShape 74"/>
        <xdr:cNvSpPr>
          <a:spLocks noChangeAspect="1"/>
        </xdr:cNvSpPr>
      </xdr:nvSpPr>
      <xdr:spPr>
        <a:xfrm rot="5400000">
          <a:off x="5476875" y="1533525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104775</xdr:rowOff>
    </xdr:from>
    <xdr:to>
      <xdr:col>12</xdr:col>
      <xdr:colOff>219075</xdr:colOff>
      <xdr:row>17</xdr:row>
      <xdr:rowOff>152400</xdr:rowOff>
    </xdr:to>
    <xdr:sp>
      <xdr:nvSpPr>
        <xdr:cNvPr id="14" name="AutoShape 75"/>
        <xdr:cNvSpPr>
          <a:spLocks noChangeAspect="1"/>
        </xdr:cNvSpPr>
      </xdr:nvSpPr>
      <xdr:spPr>
        <a:xfrm rot="16200000" flipV="1">
          <a:off x="7038975" y="2705100"/>
          <a:ext cx="495300" cy="371475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8</xdr:row>
      <xdr:rowOff>38100</xdr:rowOff>
    </xdr:from>
    <xdr:to>
      <xdr:col>14</xdr:col>
      <xdr:colOff>476250</xdr:colOff>
      <xdr:row>10</xdr:row>
      <xdr:rowOff>76200</xdr:rowOff>
    </xdr:to>
    <xdr:sp>
      <xdr:nvSpPr>
        <xdr:cNvPr id="15" name="AutoShape 77"/>
        <xdr:cNvSpPr>
          <a:spLocks noChangeAspect="1"/>
        </xdr:cNvSpPr>
      </xdr:nvSpPr>
      <xdr:spPr>
        <a:xfrm rot="5400000">
          <a:off x="8515350" y="1504950"/>
          <a:ext cx="495300" cy="36195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85725</xdr:rowOff>
    </xdr:from>
    <xdr:to>
      <xdr:col>3</xdr:col>
      <xdr:colOff>38100</xdr:colOff>
      <xdr:row>6</xdr:row>
      <xdr:rowOff>104775</xdr:rowOff>
    </xdr:to>
    <xdr:sp>
      <xdr:nvSpPr>
        <xdr:cNvPr id="16" name="Text Box 78"/>
        <xdr:cNvSpPr txBox="1">
          <a:spLocks noChangeAspect="1" noChangeArrowheads="1"/>
        </xdr:cNvSpPr>
      </xdr:nvSpPr>
      <xdr:spPr>
        <a:xfrm>
          <a:off x="581025" y="742950"/>
          <a:ext cx="1285875" cy="5048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 Model Design</a:t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3</xdr:col>
      <xdr:colOff>47625</xdr:colOff>
      <xdr:row>10</xdr:row>
      <xdr:rowOff>0</xdr:rowOff>
    </xdr:to>
    <xdr:sp>
      <xdr:nvSpPr>
        <xdr:cNvPr id="17" name="Text Box 79"/>
        <xdr:cNvSpPr txBox="1">
          <a:spLocks noChangeAspect="1" noChangeArrowheads="1"/>
        </xdr:cNvSpPr>
      </xdr:nvSpPr>
      <xdr:spPr>
        <a:xfrm>
          <a:off x="609600" y="1381125"/>
          <a:ext cx="1266825" cy="40957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Dashboard</a:t>
          </a:r>
        </a:p>
      </xdr:txBody>
    </xdr:sp>
    <xdr:clientData/>
  </xdr:twoCellAnchor>
  <xdr:twoCellAnchor>
    <xdr:from>
      <xdr:col>0</xdr:col>
      <xdr:colOff>600075</xdr:colOff>
      <xdr:row>11</xdr:row>
      <xdr:rowOff>0</xdr:rowOff>
    </xdr:from>
    <xdr:to>
      <xdr:col>3</xdr:col>
      <xdr:colOff>38100</xdr:colOff>
      <xdr:row>13</xdr:row>
      <xdr:rowOff>66675</xdr:rowOff>
    </xdr:to>
    <xdr:sp>
      <xdr:nvSpPr>
        <xdr:cNvPr id="18" name="Text Box 81"/>
        <xdr:cNvSpPr txBox="1">
          <a:spLocks noChangeAspect="1" noChangeArrowheads="1"/>
        </xdr:cNvSpPr>
      </xdr:nvSpPr>
      <xdr:spPr>
        <a:xfrm>
          <a:off x="600075" y="1952625"/>
          <a:ext cx="1266825" cy="390525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Masterfiles</a:t>
          </a:r>
        </a:p>
      </xdr:txBody>
    </xdr:sp>
    <xdr:clientData/>
  </xdr:twoCellAnchor>
  <xdr:twoCellAnchor>
    <xdr:from>
      <xdr:col>11</xdr:col>
      <xdr:colOff>38100</xdr:colOff>
      <xdr:row>3</xdr:row>
      <xdr:rowOff>66675</xdr:rowOff>
    </xdr:from>
    <xdr:to>
      <xdr:col>12</xdr:col>
      <xdr:colOff>533400</xdr:colOff>
      <xdr:row>8</xdr:row>
      <xdr:rowOff>0</xdr:rowOff>
    </xdr:to>
    <xdr:sp>
      <xdr:nvSpPr>
        <xdr:cNvPr id="19" name="Text Box 82"/>
        <xdr:cNvSpPr txBox="1">
          <a:spLocks noChangeAspect="1" noChangeArrowheads="1"/>
        </xdr:cNvSpPr>
      </xdr:nvSpPr>
      <xdr:spPr>
        <a:xfrm>
          <a:off x="6743700" y="723900"/>
          <a:ext cx="1104900" cy="742950"/>
        </a:xfrm>
        <a:prstGeom prst="rect">
          <a:avLst/>
        </a:prstGeom>
        <a:solidFill>
          <a:srgbClr val="CCFFCC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Operational expenditure</a:t>
          </a:r>
        </a:p>
      </xdr:txBody>
    </xdr:sp>
    <xdr:clientData/>
  </xdr:twoCellAnchor>
  <xdr:twoCellAnchor>
    <xdr:from>
      <xdr:col>0</xdr:col>
      <xdr:colOff>590550</xdr:colOff>
      <xdr:row>14</xdr:row>
      <xdr:rowOff>95250</xdr:rowOff>
    </xdr:from>
    <xdr:to>
      <xdr:col>3</xdr:col>
      <xdr:colOff>28575</xdr:colOff>
      <xdr:row>17</xdr:row>
      <xdr:rowOff>123825</xdr:rowOff>
    </xdr:to>
    <xdr:sp>
      <xdr:nvSpPr>
        <xdr:cNvPr id="20" name="Text Box 83"/>
        <xdr:cNvSpPr txBox="1">
          <a:spLocks noChangeAspect="1" noChangeArrowheads="1"/>
        </xdr:cNvSpPr>
      </xdr:nvSpPr>
      <xdr:spPr>
        <a:xfrm>
          <a:off x="590550" y="2533650"/>
          <a:ext cx="1266825" cy="5143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D. Reconciliation
</a:t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3</xdr:col>
      <xdr:colOff>28575</xdr:colOff>
      <xdr:row>21</xdr:row>
      <xdr:rowOff>76200</xdr:rowOff>
    </xdr:to>
    <xdr:sp>
      <xdr:nvSpPr>
        <xdr:cNvPr id="21" name="Text Box 84"/>
        <xdr:cNvSpPr txBox="1">
          <a:spLocks noChangeAspect="1" noChangeArrowheads="1"/>
        </xdr:cNvSpPr>
      </xdr:nvSpPr>
      <xdr:spPr>
        <a:xfrm>
          <a:off x="590550" y="3209925"/>
          <a:ext cx="1266825" cy="438150"/>
        </a:xfrm>
        <a:prstGeom prst="rect">
          <a:avLst/>
        </a:prstGeom>
        <a:solidFill>
          <a:srgbClr val="CC99FF"/>
        </a:solidFill>
        <a:ln w="12700" cmpd="sng">
          <a:solidFill>
            <a:srgbClr val="000066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E. Graphs
</a:t>
          </a:r>
        </a:p>
      </xdr:txBody>
    </xdr:sp>
    <xdr:clientData/>
  </xdr:twoCellAnchor>
  <xdr:twoCellAnchor>
    <xdr:from>
      <xdr:col>7</xdr:col>
      <xdr:colOff>523875</xdr:colOff>
      <xdr:row>11</xdr:row>
      <xdr:rowOff>104775</xdr:rowOff>
    </xdr:from>
    <xdr:to>
      <xdr:col>8</xdr:col>
      <xdr:colOff>247650</xdr:colOff>
      <xdr:row>14</xdr:row>
      <xdr:rowOff>152400</xdr:rowOff>
    </xdr:to>
    <xdr:sp>
      <xdr:nvSpPr>
        <xdr:cNvPr id="22" name="AutoShape 85"/>
        <xdr:cNvSpPr>
          <a:spLocks noChangeAspect="1"/>
        </xdr:cNvSpPr>
      </xdr:nvSpPr>
      <xdr:spPr>
        <a:xfrm>
          <a:off x="4791075" y="205740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11</xdr:row>
      <xdr:rowOff>9525</xdr:rowOff>
    </xdr:from>
    <xdr:to>
      <xdr:col>11</xdr:col>
      <xdr:colOff>38100</xdr:colOff>
      <xdr:row>14</xdr:row>
      <xdr:rowOff>57150</xdr:rowOff>
    </xdr:to>
    <xdr:sp>
      <xdr:nvSpPr>
        <xdr:cNvPr id="23" name="AutoShape 86"/>
        <xdr:cNvSpPr>
          <a:spLocks noChangeAspect="1"/>
        </xdr:cNvSpPr>
      </xdr:nvSpPr>
      <xdr:spPr>
        <a:xfrm>
          <a:off x="6410325" y="1962150"/>
          <a:ext cx="333375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4</xdr:row>
      <xdr:rowOff>38100</xdr:rowOff>
    </xdr:from>
    <xdr:to>
      <xdr:col>13</xdr:col>
      <xdr:colOff>333375</xdr:colOff>
      <xdr:row>7</xdr:row>
      <xdr:rowOff>85725</xdr:rowOff>
    </xdr:to>
    <xdr:sp>
      <xdr:nvSpPr>
        <xdr:cNvPr id="24" name="AutoShape 87"/>
        <xdr:cNvSpPr>
          <a:spLocks noChangeAspect="1"/>
        </xdr:cNvSpPr>
      </xdr:nvSpPr>
      <xdr:spPr>
        <a:xfrm>
          <a:off x="7915275" y="857250"/>
          <a:ext cx="342900" cy="533400"/>
        </a:xfrm>
        <a:prstGeom prst="rightArrow">
          <a:avLst>
            <a:gd name="adj1" fmla="val -15370"/>
            <a:gd name="adj2" fmla="val -23282"/>
          </a:avLst>
        </a:prstGeom>
        <a:solidFill>
          <a:srgbClr val="3333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28</xdr:row>
      <xdr:rowOff>0</xdr:rowOff>
    </xdr:from>
    <xdr:to>
      <xdr:col>10</xdr:col>
      <xdr:colOff>266700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885825" y="4476750"/>
        <a:ext cx="8553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94</xdr:row>
      <xdr:rowOff>47625</xdr:rowOff>
    </xdr:from>
    <xdr:to>
      <xdr:col>8</xdr:col>
      <xdr:colOff>57150</xdr:colOff>
      <xdr:row>111</xdr:row>
      <xdr:rowOff>123825</xdr:rowOff>
    </xdr:to>
    <xdr:graphicFrame>
      <xdr:nvGraphicFramePr>
        <xdr:cNvPr id="2" name="Chart 1"/>
        <xdr:cNvGraphicFramePr/>
      </xdr:nvGraphicFramePr>
      <xdr:xfrm>
        <a:off x="1952625" y="15287625"/>
        <a:ext cx="5295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180</xdr:row>
      <xdr:rowOff>114300</xdr:rowOff>
    </xdr:from>
    <xdr:to>
      <xdr:col>7</xdr:col>
      <xdr:colOff>485775</xdr:colOff>
      <xdr:row>198</xdr:row>
      <xdr:rowOff>28575</xdr:rowOff>
    </xdr:to>
    <xdr:graphicFrame>
      <xdr:nvGraphicFramePr>
        <xdr:cNvPr id="3" name="Chart 4"/>
        <xdr:cNvGraphicFramePr/>
      </xdr:nvGraphicFramePr>
      <xdr:xfrm>
        <a:off x="1400175" y="29356050"/>
        <a:ext cx="52863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121</xdr:row>
      <xdr:rowOff>47625</xdr:rowOff>
    </xdr:from>
    <xdr:to>
      <xdr:col>8</xdr:col>
      <xdr:colOff>57150</xdr:colOff>
      <xdr:row>138</xdr:row>
      <xdr:rowOff>123825</xdr:rowOff>
    </xdr:to>
    <xdr:graphicFrame>
      <xdr:nvGraphicFramePr>
        <xdr:cNvPr id="4" name="Chart 8"/>
        <xdr:cNvGraphicFramePr/>
      </xdr:nvGraphicFramePr>
      <xdr:xfrm>
        <a:off x="1952625" y="19659600"/>
        <a:ext cx="52959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0:K37"/>
  <sheetViews>
    <sheetView tabSelected="1" zoomScale="70" zoomScaleNormal="70" zoomScalePageLayoutView="0" workbookViewId="0" topLeftCell="A1">
      <selection activeCell="E38" sqref="E38"/>
    </sheetView>
  </sheetViews>
  <sheetFormatPr defaultColWidth="9.140625" defaultRowHeight="12.75"/>
  <cols>
    <col min="1" max="3" width="6.28125" style="247" customWidth="1"/>
    <col min="4" max="5" width="27.28125" style="247" customWidth="1"/>
    <col min="6" max="16384" width="9.140625" style="247" customWidth="1"/>
  </cols>
  <sheetData>
    <row r="10" spans="2:11" ht="12.75">
      <c r="B10" s="283"/>
      <c r="C10" s="283"/>
      <c r="D10" s="283"/>
      <c r="E10" s="283"/>
      <c r="F10" s="283"/>
      <c r="G10" s="283"/>
      <c r="H10" s="283"/>
      <c r="I10" s="283"/>
      <c r="J10" s="283"/>
      <c r="K10" s="283"/>
    </row>
    <row r="11" spans="2:11" ht="30">
      <c r="B11" s="283"/>
      <c r="C11" s="283"/>
      <c r="D11" s="284" t="s">
        <v>964</v>
      </c>
      <c r="E11" s="283"/>
      <c r="F11" s="283"/>
      <c r="G11" s="283"/>
      <c r="H11" s="283"/>
      <c r="I11" s="283"/>
      <c r="J11" s="283"/>
      <c r="K11" s="283"/>
    </row>
    <row r="12" spans="2:11" ht="30">
      <c r="B12" s="283"/>
      <c r="C12" s="283"/>
      <c r="D12" s="285"/>
      <c r="E12" s="283"/>
      <c r="F12" s="283"/>
      <c r="G12" s="283"/>
      <c r="H12" s="283"/>
      <c r="I12" s="283"/>
      <c r="J12" s="283"/>
      <c r="K12" s="283"/>
    </row>
    <row r="13" spans="2:11" ht="30">
      <c r="B13" s="283"/>
      <c r="C13" s="283"/>
      <c r="D13" s="284"/>
      <c r="E13" s="283"/>
      <c r="F13" s="283"/>
      <c r="G13" s="283"/>
      <c r="H13" s="283"/>
      <c r="I13" s="283"/>
      <c r="J13" s="283"/>
      <c r="K13" s="283"/>
    </row>
    <row r="14" spans="2:11" ht="12.75">
      <c r="B14" s="283"/>
      <c r="C14" s="283"/>
      <c r="D14" s="283"/>
      <c r="E14" s="283"/>
      <c r="F14" s="283"/>
      <c r="G14" s="283"/>
      <c r="H14" s="283"/>
      <c r="I14" s="283"/>
      <c r="J14" s="283"/>
      <c r="K14" s="283"/>
    </row>
    <row r="15" spans="2:11" ht="12.75">
      <c r="B15" s="28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2:11" ht="12.75">
      <c r="B16" s="283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2:11" ht="20.25">
      <c r="B17" s="283"/>
      <c r="C17" s="283"/>
      <c r="D17" s="286" t="s">
        <v>589</v>
      </c>
      <c r="E17" s="287" t="str">
        <f ca="1">MID(CELL("filename"),SEARCH("[",CELL("filename"))+1,SEARCH("]",CELL("filename"))-SEARCH("[",CELL("filename"))-1)</f>
        <v>Model LRIC retele fixe public mod 08022012.xls</v>
      </c>
      <c r="F17" s="288"/>
      <c r="G17" s="283"/>
      <c r="H17" s="283"/>
      <c r="I17" s="283"/>
      <c r="J17" s="283"/>
      <c r="K17" s="283"/>
    </row>
    <row r="18" spans="2:11" ht="20.25">
      <c r="B18" s="283"/>
      <c r="C18" s="283"/>
      <c r="D18" s="289"/>
      <c r="E18" s="283"/>
      <c r="F18" s="289"/>
      <c r="G18" s="283"/>
      <c r="H18" s="283"/>
      <c r="I18" s="283"/>
      <c r="J18" s="283"/>
      <c r="K18" s="283"/>
    </row>
    <row r="19" spans="2:11" ht="12.75"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ht="20.25">
      <c r="B20" s="283"/>
      <c r="C20" s="283"/>
      <c r="D20" s="286"/>
      <c r="E20" s="286"/>
      <c r="F20" s="283"/>
      <c r="G20" s="283"/>
      <c r="H20" s="283"/>
      <c r="I20" s="283"/>
      <c r="J20" s="283"/>
      <c r="K20" s="283"/>
    </row>
    <row r="21" spans="4:5" ht="20.25">
      <c r="D21" s="249"/>
      <c r="E21" s="248"/>
    </row>
    <row r="24" spans="2:11" s="588" customFormat="1" ht="120" customHeight="1">
      <c r="B24" s="651" t="s">
        <v>0</v>
      </c>
      <c r="C24" s="652"/>
      <c r="D24" s="652"/>
      <c r="E24" s="652"/>
      <c r="F24" s="652"/>
      <c r="G24" s="652"/>
      <c r="H24" s="652"/>
      <c r="I24" s="652"/>
      <c r="J24" s="652"/>
      <c r="K24" s="652"/>
    </row>
    <row r="26" spans="4:11" ht="12.75">
      <c r="D26" s="250"/>
      <c r="E26" s="251"/>
      <c r="F26" s="251"/>
      <c r="G26" s="251"/>
      <c r="H26" s="251"/>
      <c r="I26" s="251"/>
      <c r="J26" s="251"/>
      <c r="K26" s="251"/>
    </row>
    <row r="27" spans="4:11" ht="12.75">
      <c r="D27" s="250"/>
      <c r="E27" s="251"/>
      <c r="F27" s="251"/>
      <c r="G27" s="251"/>
      <c r="H27" s="251"/>
      <c r="I27" s="251"/>
      <c r="J27" s="251"/>
      <c r="K27" s="251"/>
    </row>
    <row r="28" spans="4:11" ht="12.75">
      <c r="D28" s="250"/>
      <c r="E28" s="251"/>
      <c r="F28" s="251"/>
      <c r="G28" s="251"/>
      <c r="H28" s="251"/>
      <c r="I28" s="251"/>
      <c r="J28" s="251"/>
      <c r="K28" s="251"/>
    </row>
    <row r="29" spans="4:11" ht="12.75">
      <c r="D29" s="251"/>
      <c r="E29" s="251"/>
      <c r="F29" s="251"/>
      <c r="G29" s="251"/>
      <c r="H29" s="251"/>
      <c r="I29" s="251"/>
      <c r="J29" s="251"/>
      <c r="K29" s="251"/>
    </row>
    <row r="30" spans="4:11" ht="12.75">
      <c r="D30" s="250"/>
      <c r="E30" s="251"/>
      <c r="F30" s="251"/>
      <c r="G30" s="251"/>
      <c r="H30" s="251"/>
      <c r="I30" s="251"/>
      <c r="J30" s="251"/>
      <c r="K30" s="251"/>
    </row>
    <row r="31" spans="4:11" ht="12.75">
      <c r="D31" s="251"/>
      <c r="E31" s="251"/>
      <c r="F31" s="251"/>
      <c r="G31" s="251"/>
      <c r="H31" s="251"/>
      <c r="I31" s="251"/>
      <c r="J31" s="251"/>
      <c r="K31" s="251"/>
    </row>
    <row r="32" spans="4:11" ht="12.75">
      <c r="D32" s="250"/>
      <c r="E32" s="251"/>
      <c r="F32" s="251"/>
      <c r="G32" s="251"/>
      <c r="H32" s="251"/>
      <c r="I32" s="251"/>
      <c r="J32" s="251"/>
      <c r="K32" s="251"/>
    </row>
    <row r="33" spans="4:11" ht="12.75">
      <c r="D33" s="250"/>
      <c r="E33" s="251"/>
      <c r="F33" s="251"/>
      <c r="G33" s="251"/>
      <c r="H33" s="251"/>
      <c r="I33" s="251"/>
      <c r="J33" s="251"/>
      <c r="K33" s="251"/>
    </row>
    <row r="34" spans="4:11" ht="12.75">
      <c r="D34" s="250"/>
      <c r="E34" s="251"/>
      <c r="F34" s="251"/>
      <c r="G34" s="251"/>
      <c r="H34" s="251"/>
      <c r="I34" s="251"/>
      <c r="J34" s="251"/>
      <c r="K34" s="251"/>
    </row>
    <row r="35" spans="4:11" ht="12.75">
      <c r="D35" s="250"/>
      <c r="E35" s="251"/>
      <c r="F35" s="251"/>
      <c r="G35" s="251"/>
      <c r="H35" s="251"/>
      <c r="I35" s="251"/>
      <c r="J35" s="251"/>
      <c r="K35" s="251"/>
    </row>
    <row r="36" spans="4:11" ht="12.75">
      <c r="D36" s="250"/>
      <c r="E36" s="251"/>
      <c r="F36" s="251"/>
      <c r="G36" s="251"/>
      <c r="H36" s="251"/>
      <c r="I36" s="251"/>
      <c r="J36" s="251"/>
      <c r="K36" s="251"/>
    </row>
    <row r="37" spans="4:11" ht="12.75">
      <c r="D37" s="250"/>
      <c r="E37" s="251"/>
      <c r="F37" s="251"/>
      <c r="G37" s="251"/>
      <c r="H37" s="251"/>
      <c r="I37" s="251"/>
      <c r="J37" s="251"/>
      <c r="K37" s="251"/>
    </row>
  </sheetData>
  <sheetProtection/>
  <mergeCells count="1">
    <mergeCell ref="B24:K2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GX399"/>
  <sheetViews>
    <sheetView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9.28125" style="1" customWidth="1"/>
    <col min="4" max="4" width="40.7109375" style="1" customWidth="1"/>
    <col min="5" max="5" width="12.7109375" style="1" customWidth="1"/>
    <col min="6" max="6" width="15.7109375" style="83" customWidth="1"/>
    <col min="7" max="8" width="15.7109375" style="1" customWidth="1"/>
    <col min="9" max="13" width="18.7109375" style="1" customWidth="1"/>
    <col min="14" max="16" width="13.28125" style="1" customWidth="1"/>
    <col min="17" max="17" width="9.140625" style="1" customWidth="1"/>
    <col min="18" max="18" width="21.421875" style="1" customWidth="1"/>
    <col min="19" max="16384" width="9.140625" style="1" customWidth="1"/>
  </cols>
  <sheetData>
    <row r="1" spans="1:6" s="21" customFormat="1" ht="26.25">
      <c r="A1" s="20">
        <v>3</v>
      </c>
      <c r="B1" s="22" t="s">
        <v>597</v>
      </c>
      <c r="D1" s="23"/>
      <c r="F1" s="8"/>
    </row>
    <row r="2" spans="1:6" s="21" customFormat="1" ht="15" customHeight="1">
      <c r="A2" s="20"/>
      <c r="B2" s="22"/>
      <c r="D2" s="23"/>
      <c r="F2" s="8"/>
    </row>
    <row r="3" spans="2:10" ht="12.75">
      <c r="B3" s="598" t="s">
        <v>247</v>
      </c>
      <c r="C3" s="257" t="s">
        <v>313</v>
      </c>
      <c r="D3" s="280"/>
      <c r="E3" s="280"/>
      <c r="F3" s="280"/>
      <c r="G3" s="280"/>
      <c r="H3" s="280"/>
      <c r="I3" s="280"/>
      <c r="J3" s="280"/>
    </row>
    <row r="4" spans="2:10" ht="12.75">
      <c r="B4" s="599" t="s">
        <v>249</v>
      </c>
      <c r="C4" s="244" t="s">
        <v>292</v>
      </c>
      <c r="D4" s="243"/>
      <c r="E4" s="243"/>
      <c r="F4" s="243"/>
      <c r="G4" s="243"/>
      <c r="H4" s="243"/>
      <c r="I4" s="243"/>
      <c r="J4" s="243"/>
    </row>
    <row r="5" spans="2:10" ht="12.75">
      <c r="B5" s="600" t="s">
        <v>251</v>
      </c>
      <c r="C5" s="323" t="s">
        <v>155</v>
      </c>
      <c r="D5" s="324"/>
      <c r="E5" s="324"/>
      <c r="F5" s="324"/>
      <c r="G5" s="324"/>
      <c r="H5" s="324"/>
      <c r="I5" s="324"/>
      <c r="J5" s="324"/>
    </row>
    <row r="6" spans="2:10" ht="12.75">
      <c r="B6" s="601" t="s">
        <v>252</v>
      </c>
      <c r="C6" s="258" t="s">
        <v>156</v>
      </c>
      <c r="D6" s="281"/>
      <c r="E6" s="281"/>
      <c r="F6" s="281"/>
      <c r="G6" s="281"/>
      <c r="H6" s="281"/>
      <c r="I6" s="281"/>
      <c r="J6" s="281"/>
    </row>
    <row r="7" spans="2:10" ht="12.75">
      <c r="B7" s="602" t="s">
        <v>254</v>
      </c>
      <c r="C7" s="259" t="s">
        <v>157</v>
      </c>
      <c r="D7" s="255"/>
      <c r="E7" s="255"/>
      <c r="F7" s="255"/>
      <c r="G7" s="255"/>
      <c r="H7" s="255"/>
      <c r="I7" s="255"/>
      <c r="J7" s="255"/>
    </row>
    <row r="8" spans="2:11" s="21" customFormat="1" ht="12.75">
      <c r="B8" s="25"/>
      <c r="C8" s="26"/>
      <c r="D8" s="23"/>
      <c r="E8" s="24"/>
      <c r="F8" s="8"/>
      <c r="G8" s="27"/>
      <c r="J8" s="25"/>
      <c r="K8" s="25"/>
    </row>
    <row r="10" spans="1:28" ht="15.75">
      <c r="A10" s="28"/>
      <c r="B10" s="267">
        <f>A1+0.01</f>
        <v>3.01</v>
      </c>
      <c r="C10" s="29" t="s">
        <v>222</v>
      </c>
      <c r="D10" s="28"/>
      <c r="E10" s="30"/>
      <c r="F10" s="347"/>
      <c r="G10" s="28"/>
      <c r="H10" s="28"/>
      <c r="I10" s="28"/>
      <c r="J10" s="31"/>
      <c r="K10" s="31"/>
      <c r="L10" s="32"/>
      <c r="M10" s="3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ht="15">
      <c r="A11" s="21"/>
      <c r="B11" s="25"/>
      <c r="C11" s="21"/>
      <c r="D11" s="33"/>
      <c r="E11" s="24"/>
      <c r="F11" s="23"/>
      <c r="G11" s="21"/>
      <c r="H11" s="28"/>
      <c r="I11" s="21"/>
      <c r="J11" s="25"/>
      <c r="K11" s="25"/>
      <c r="L11" s="34"/>
      <c r="M11" s="34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5">
      <c r="A12" s="21"/>
      <c r="B12" s="25"/>
      <c r="C12" s="11"/>
      <c r="D12" s="11" t="s">
        <v>598</v>
      </c>
      <c r="E12" s="11" t="s">
        <v>652</v>
      </c>
      <c r="F12" s="12"/>
      <c r="G12" s="35"/>
      <c r="H12" s="28"/>
      <c r="I12" s="36"/>
      <c r="J12" s="36"/>
      <c r="K12" s="36"/>
      <c r="L12" s="36"/>
      <c r="M12" s="36"/>
      <c r="N12" s="36"/>
      <c r="O12" s="36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75" customHeight="1">
      <c r="A13" s="21"/>
      <c r="B13" s="25"/>
      <c r="C13" s="13"/>
      <c r="D13" s="37" t="s">
        <v>599</v>
      </c>
      <c r="E13" s="37"/>
      <c r="F13" s="430">
        <f>'B. Dashboard'!F57</f>
        <v>250</v>
      </c>
      <c r="G13" s="45"/>
      <c r="H13" s="28"/>
      <c r="I13" s="36"/>
      <c r="J13" s="36"/>
      <c r="K13" s="36"/>
      <c r="L13" s="36"/>
      <c r="M13" s="36"/>
      <c r="N13" s="36"/>
      <c r="O13" s="36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.75" customHeight="1">
      <c r="A14" s="21"/>
      <c r="B14" s="25"/>
      <c r="C14" s="14"/>
      <c r="D14" s="39" t="s">
        <v>600</v>
      </c>
      <c r="E14" s="39" t="s">
        <v>601</v>
      </c>
      <c r="F14" s="321">
        <f>1/F13</f>
        <v>0.004</v>
      </c>
      <c r="G14" s="40"/>
      <c r="H14" s="28"/>
      <c r="I14" s="36"/>
      <c r="J14" s="36"/>
      <c r="K14" s="36"/>
      <c r="L14" s="36"/>
      <c r="M14" s="36"/>
      <c r="N14" s="36"/>
      <c r="O14" s="36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5">
      <c r="A15" s="21"/>
      <c r="B15" s="25"/>
      <c r="C15" s="15"/>
      <c r="D15" s="41" t="s">
        <v>602</v>
      </c>
      <c r="E15" s="41" t="s">
        <v>601</v>
      </c>
      <c r="F15" s="417">
        <f>'B. Dashboard'!F56</f>
        <v>0.1</v>
      </c>
      <c r="G15" s="38"/>
      <c r="H15" s="28"/>
      <c r="I15" s="36"/>
      <c r="J15" s="36"/>
      <c r="K15" s="36"/>
      <c r="L15" s="36"/>
      <c r="M15" s="36"/>
      <c r="N15" s="36"/>
      <c r="O15" s="36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5">
      <c r="A16" s="21"/>
      <c r="B16" s="25"/>
      <c r="C16" s="15"/>
      <c r="D16" s="41" t="s">
        <v>703</v>
      </c>
      <c r="E16" s="41" t="s">
        <v>704</v>
      </c>
      <c r="F16" s="418">
        <v>60</v>
      </c>
      <c r="G16" s="38"/>
      <c r="H16" s="28"/>
      <c r="I16" s="36"/>
      <c r="J16" s="36"/>
      <c r="K16" s="36"/>
      <c r="L16" s="36"/>
      <c r="M16" s="36"/>
      <c r="N16" s="36"/>
      <c r="O16" s="36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5">
      <c r="A17" s="21"/>
      <c r="B17" s="25"/>
      <c r="C17" s="16"/>
      <c r="D17" s="42" t="s">
        <v>603</v>
      </c>
      <c r="E17" s="42" t="s">
        <v>604</v>
      </c>
      <c r="F17" s="322">
        <f>F14*F15/F16</f>
        <v>6.666666666666667E-06</v>
      </c>
      <c r="G17" s="43" t="s">
        <v>699</v>
      </c>
      <c r="H17" s="28"/>
      <c r="I17" s="215"/>
      <c r="J17" s="36"/>
      <c r="K17" s="36"/>
      <c r="L17" s="36"/>
      <c r="M17" s="36"/>
      <c r="N17" s="36"/>
      <c r="O17" s="36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5">
      <c r="A18" s="21"/>
      <c r="B18" s="270"/>
      <c r="C18" s="45"/>
      <c r="D18" s="45"/>
      <c r="E18" s="45"/>
      <c r="F18" s="46"/>
      <c r="G18" s="43"/>
      <c r="H18" s="28"/>
      <c r="I18" s="36"/>
      <c r="J18" s="36"/>
      <c r="K18" s="36"/>
      <c r="L18" s="47"/>
      <c r="M18" s="47"/>
      <c r="N18" s="47"/>
      <c r="O18" s="47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2.75">
      <c r="A19" s="21"/>
      <c r="B19" s="25"/>
      <c r="C19" s="48"/>
      <c r="D19" s="48"/>
      <c r="E19" s="48"/>
      <c r="F19" s="49"/>
      <c r="G19" s="38"/>
      <c r="H19" s="36"/>
      <c r="I19" s="36"/>
      <c r="J19" s="36"/>
      <c r="K19" s="36"/>
      <c r="L19" s="36"/>
      <c r="M19" s="36"/>
      <c r="N19" s="36"/>
      <c r="O19" s="36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.75">
      <c r="A20" s="21"/>
      <c r="B20" s="25"/>
      <c r="C20" s="17"/>
      <c r="D20" s="17" t="s">
        <v>605</v>
      </c>
      <c r="E20" s="11" t="s">
        <v>652</v>
      </c>
      <c r="F20" s="18">
        <f>'C. Masterfiles'!E99</f>
        <v>2008</v>
      </c>
      <c r="G20" s="18">
        <f>'C. Masterfiles'!F99</f>
        <v>2009</v>
      </c>
      <c r="H20" s="18">
        <f>'C. Masterfiles'!G99</f>
        <v>2010</v>
      </c>
      <c r="I20" s="18">
        <f>'C. Masterfiles'!H99</f>
        <v>2011</v>
      </c>
      <c r="J20" s="18">
        <f>'C. Masterfiles'!I99</f>
        <v>2012</v>
      </c>
      <c r="K20" s="36"/>
      <c r="L20" s="36"/>
      <c r="M20" s="36"/>
      <c r="N20" s="36"/>
      <c r="O20" s="36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.75" customHeight="1">
      <c r="A21" s="21"/>
      <c r="B21" s="25"/>
      <c r="C21" s="13"/>
      <c r="D21" s="556" t="s">
        <v>153</v>
      </c>
      <c r="E21" s="37" t="s">
        <v>601</v>
      </c>
      <c r="F21" s="308">
        <v>0.4</v>
      </c>
      <c r="G21" s="319">
        <f>F21+($J21-$F21)/4</f>
        <v>0.475</v>
      </c>
      <c r="H21" s="319">
        <f>G21+($J21-$F21)/4</f>
        <v>0.5499999999999999</v>
      </c>
      <c r="I21" s="319">
        <f>H21+($J21-$F21)/4</f>
        <v>0.6249999999999999</v>
      </c>
      <c r="J21" s="308">
        <v>0.7</v>
      </c>
      <c r="K21" s="36"/>
      <c r="L21" s="36"/>
      <c r="M21" s="36"/>
      <c r="N21" s="36"/>
      <c r="O21" s="36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 customHeight="1">
      <c r="A22" s="21"/>
      <c r="B22" s="25"/>
      <c r="C22" s="13"/>
      <c r="D22" s="556" t="s">
        <v>154</v>
      </c>
      <c r="E22" s="37" t="s">
        <v>601</v>
      </c>
      <c r="F22" s="319">
        <f>1-F21</f>
        <v>0.6</v>
      </c>
      <c r="G22" s="319">
        <f>1-G21</f>
        <v>0.525</v>
      </c>
      <c r="H22" s="319">
        <f>1-H21</f>
        <v>0.45000000000000007</v>
      </c>
      <c r="I22" s="319">
        <f>1-I21</f>
        <v>0.3750000000000001</v>
      </c>
      <c r="J22" s="319">
        <f>1-J21</f>
        <v>0.30000000000000004</v>
      </c>
      <c r="K22" s="36"/>
      <c r="L22" s="36"/>
      <c r="M22" s="36"/>
      <c r="N22" s="36"/>
      <c r="O22" s="3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1"/>
      <c r="B23" s="25"/>
      <c r="C23" s="25"/>
      <c r="D23" s="51"/>
      <c r="E23" s="51"/>
      <c r="F23" s="50"/>
      <c r="G23" s="50"/>
      <c r="H23" s="50"/>
      <c r="I23" s="50"/>
      <c r="J23" s="50"/>
      <c r="K23" s="50"/>
      <c r="L23" s="36"/>
      <c r="M23" s="36"/>
      <c r="N23" s="36"/>
      <c r="O23" s="36"/>
      <c r="P23" s="36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1"/>
      <c r="B24" s="25"/>
      <c r="C24" s="25"/>
      <c r="D24" s="51"/>
      <c r="E24" s="51"/>
      <c r="F24" s="50"/>
      <c r="G24" s="50"/>
      <c r="H24" s="50"/>
      <c r="I24" s="50"/>
      <c r="J24" s="50"/>
      <c r="K24" s="50"/>
      <c r="L24" s="36"/>
      <c r="M24" s="36"/>
      <c r="N24" s="36"/>
      <c r="O24" s="36"/>
      <c r="P24" s="36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.75">
      <c r="A25" s="21"/>
      <c r="B25" s="25"/>
      <c r="C25" s="51"/>
      <c r="D25" s="51"/>
      <c r="E25" s="50"/>
      <c r="F25" s="50"/>
      <c r="G25" s="50"/>
      <c r="H25" s="50"/>
      <c r="I25" s="50"/>
      <c r="J25" s="50"/>
      <c r="K25" s="50"/>
      <c r="L25" s="36"/>
      <c r="M25" s="36"/>
      <c r="N25" s="36"/>
      <c r="O25" s="36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.75">
      <c r="A26" s="21"/>
      <c r="B26" s="25"/>
      <c r="C26" s="51"/>
      <c r="D26" s="51"/>
      <c r="E26" s="50"/>
      <c r="F26" s="50"/>
      <c r="G26" s="50"/>
      <c r="H26" s="50"/>
      <c r="I26" s="50"/>
      <c r="J26" s="50"/>
      <c r="K26" s="50"/>
      <c r="L26" s="36"/>
      <c r="M26" s="36"/>
      <c r="N26" s="36"/>
      <c r="O26" s="36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5.75">
      <c r="A27" s="21"/>
      <c r="B27" s="267">
        <f>B10+0.01</f>
        <v>3.0199999999999996</v>
      </c>
      <c r="C27" s="29" t="s">
        <v>690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8"/>
      <c r="V27" s="48"/>
      <c r="W27" s="48"/>
      <c r="X27" s="48"/>
      <c r="Y27" s="48"/>
      <c r="Z27" s="48"/>
      <c r="AA27" s="48"/>
      <c r="AB27" s="48"/>
    </row>
    <row r="28" spans="1:28" ht="12.75">
      <c r="A28" s="21"/>
      <c r="B28" s="53"/>
      <c r="C28" s="52"/>
      <c r="D28" s="5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8"/>
      <c r="W28" s="8"/>
      <c r="X28" s="8"/>
      <c r="Y28" s="8"/>
      <c r="Z28" s="8"/>
      <c r="AA28" s="8"/>
      <c r="AB28" s="8"/>
    </row>
    <row r="29" spans="1:6" s="110" customFormat="1" ht="12.75">
      <c r="A29" s="21"/>
      <c r="B29" s="271"/>
      <c r="C29" s="506" t="s">
        <v>96</v>
      </c>
      <c r="F29" s="419"/>
    </row>
    <row r="30" spans="1:6" s="110" customFormat="1" ht="12.75">
      <c r="A30" s="21"/>
      <c r="B30" s="271"/>
      <c r="C30" s="109"/>
      <c r="D30" s="108"/>
      <c r="F30" s="589" t="s">
        <v>286</v>
      </c>
    </row>
    <row r="31" spans="1:7" s="110" customFormat="1" ht="45" customHeight="1">
      <c r="A31" s="21"/>
      <c r="B31" s="271"/>
      <c r="C31" s="124"/>
      <c r="D31" s="124"/>
      <c r="E31" s="125"/>
      <c r="F31" s="650" t="s">
        <v>850</v>
      </c>
      <c r="G31" s="647"/>
    </row>
    <row r="32" spans="1:7" s="110" customFormat="1" ht="14.25" customHeight="1">
      <c r="A32" s="21"/>
      <c r="B32" s="271"/>
      <c r="C32" s="124"/>
      <c r="D32" s="124" t="s">
        <v>689</v>
      </c>
      <c r="E32" s="453" t="s">
        <v>633</v>
      </c>
      <c r="F32" s="452">
        <f>'C. Masterfiles'!F99</f>
        <v>2009</v>
      </c>
      <c r="G32" s="452">
        <f>'C. Masterfiles'!G99</f>
        <v>2010</v>
      </c>
    </row>
    <row r="33" spans="1:7" s="110" customFormat="1" ht="12.75">
      <c r="A33" s="21"/>
      <c r="B33" s="271"/>
      <c r="C33" s="111" t="str">
        <f>'C. Masterfiles'!C53</f>
        <v>N01</v>
      </c>
      <c r="D33" s="111" t="str">
        <f>'C. Masterfiles'!D53</f>
        <v>Remote Access Unit</v>
      </c>
      <c r="E33" s="111" t="str">
        <f>'C. Masterfiles'!E53</f>
        <v>RAU</v>
      </c>
      <c r="F33" s="292"/>
      <c r="G33" s="292"/>
    </row>
    <row r="34" spans="1:7" s="110" customFormat="1" ht="12.75">
      <c r="A34" s="21"/>
      <c r="B34" s="271"/>
      <c r="C34" s="111" t="str">
        <f>'C. Masterfiles'!C54</f>
        <v>N02</v>
      </c>
      <c r="D34" s="111" t="str">
        <f>'C. Masterfiles'!D54</f>
        <v>Local Switch</v>
      </c>
      <c r="E34" s="111" t="str">
        <f>'C. Masterfiles'!E54</f>
        <v>LS</v>
      </c>
      <c r="F34" s="292"/>
      <c r="G34" s="292"/>
    </row>
    <row r="35" spans="1:7" s="110" customFormat="1" ht="12.75">
      <c r="A35" s="21"/>
      <c r="B35" s="271"/>
      <c r="C35" s="111" t="str">
        <f>'C. Masterfiles'!C55</f>
        <v>N03</v>
      </c>
      <c r="D35" s="111" t="str">
        <f>'C. Masterfiles'!D55</f>
        <v>Tandem Switch</v>
      </c>
      <c r="E35" s="111" t="str">
        <f>'C. Masterfiles'!E55</f>
        <v>TS</v>
      </c>
      <c r="F35" s="292"/>
      <c r="G35" s="292"/>
    </row>
    <row r="36" spans="1:7" s="110" customFormat="1" ht="12.75">
      <c r="A36" s="21"/>
      <c r="B36" s="271"/>
      <c r="C36" s="111" t="str">
        <f>'C. Masterfiles'!C56</f>
        <v>N04</v>
      </c>
      <c r="D36" s="111" t="str">
        <f>'C. Masterfiles'!D56</f>
        <v>International switching centre</v>
      </c>
      <c r="E36" s="111" t="str">
        <f>'C. Masterfiles'!E56</f>
        <v>ISC</v>
      </c>
      <c r="F36" s="292"/>
      <c r="G36" s="292"/>
    </row>
    <row r="37" spans="1:7" s="110" customFormat="1" ht="12.75">
      <c r="A37" s="21"/>
      <c r="B37" s="271"/>
      <c r="C37" s="111" t="str">
        <f>'C. Masterfiles'!C57</f>
        <v>N05</v>
      </c>
      <c r="D37" s="111" t="str">
        <f>'C. Masterfiles'!D57</f>
        <v>Interconnect gateway</v>
      </c>
      <c r="E37" s="111" t="str">
        <f>'C. Masterfiles'!E57</f>
        <v>IGW</v>
      </c>
      <c r="F37" s="292"/>
      <c r="G37" s="292"/>
    </row>
    <row r="38" spans="1:7" s="110" customFormat="1" ht="12.75">
      <c r="A38" s="21"/>
      <c r="B38" s="271"/>
      <c r="C38" s="111" t="str">
        <f>'C. Masterfiles'!C58</f>
        <v>N06</v>
      </c>
      <c r="D38" s="111" t="str">
        <f>'C. Masterfiles'!D58</f>
        <v>Intelligent network </v>
      </c>
      <c r="E38" s="111" t="str">
        <f>'C. Masterfiles'!E58</f>
        <v>IN</v>
      </c>
      <c r="F38" s="292"/>
      <c r="G38" s="292"/>
    </row>
    <row r="39" spans="1:7" s="110" customFormat="1" ht="12.75">
      <c r="A39" s="21"/>
      <c r="B39" s="271"/>
      <c r="C39" s="111" t="str">
        <f>'C. Masterfiles'!C59</f>
        <v>N07</v>
      </c>
      <c r="D39" s="111" t="str">
        <f>'C. Masterfiles'!D59</f>
        <v>Retail Billing System</v>
      </c>
      <c r="E39" s="111" t="str">
        <f>'C. Masterfiles'!E59</f>
        <v>RBIL</v>
      </c>
      <c r="F39" s="292"/>
      <c r="G39" s="292"/>
    </row>
    <row r="40" spans="1:7" s="110" customFormat="1" ht="12.75">
      <c r="A40" s="21"/>
      <c r="B40" s="271"/>
      <c r="C40" s="111" t="str">
        <f>'C. Masterfiles'!C60</f>
        <v>N08</v>
      </c>
      <c r="D40" s="111" t="str">
        <f>'C. Masterfiles'!D60</f>
        <v>Interconnection Billing System</v>
      </c>
      <c r="E40" s="111" t="str">
        <f>'C. Masterfiles'!E60</f>
        <v>IBIL</v>
      </c>
      <c r="F40" s="292"/>
      <c r="G40" s="292"/>
    </row>
    <row r="41" spans="1:7" s="110" customFormat="1" ht="12.75">
      <c r="A41" s="21"/>
      <c r="B41" s="271"/>
      <c r="C41" s="111" t="str">
        <f>'C. Masterfiles'!C61</f>
        <v>N09</v>
      </c>
      <c r="D41" s="111" t="str">
        <f>'C. Masterfiles'!D61</f>
        <v>Network management system</v>
      </c>
      <c r="E41" s="111" t="str">
        <f>'C. Masterfiles'!E61</f>
        <v>NMS</v>
      </c>
      <c r="F41" s="292"/>
      <c r="G41" s="292"/>
    </row>
    <row r="42" spans="1:7" s="110" customFormat="1" ht="12.75">
      <c r="A42" s="21"/>
      <c r="B42" s="271"/>
      <c r="C42" s="111" t="str">
        <f>'C. Masterfiles'!C62</f>
        <v>N10</v>
      </c>
      <c r="D42" s="111" t="str">
        <f>'C. Masterfiles'!D62</f>
        <v>Operational support system</v>
      </c>
      <c r="E42" s="111" t="str">
        <f>'C. Masterfiles'!E62</f>
        <v>OSS</v>
      </c>
      <c r="F42" s="292"/>
      <c r="G42" s="292"/>
    </row>
    <row r="43" spans="1:15" ht="12.75">
      <c r="A43" s="21"/>
      <c r="C43" s="111" t="str">
        <f>'C. Masterfiles'!C63</f>
        <v>End</v>
      </c>
      <c r="D43" s="111" t="str">
        <f>'C. Masterfiles'!D63</f>
        <v>End of list</v>
      </c>
      <c r="E43" s="111" t="str">
        <f>'C. Masterfiles'!E63</f>
        <v>End</v>
      </c>
      <c r="F43" s="156"/>
      <c r="G43" s="156"/>
      <c r="H43" s="110"/>
      <c r="I43" s="110"/>
      <c r="J43" s="110"/>
      <c r="K43" s="110"/>
      <c r="L43" s="110"/>
      <c r="M43" s="110"/>
      <c r="N43" s="110"/>
      <c r="O43" s="110"/>
    </row>
    <row r="44" spans="1:14" ht="12.75">
      <c r="A44" s="21"/>
      <c r="C44" s="348"/>
      <c r="D44" s="348"/>
      <c r="E44" s="348"/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5" ht="12.75">
      <c r="A45" s="21"/>
      <c r="C45" s="348"/>
      <c r="D45" s="348"/>
      <c r="E45" s="348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3" s="110" customFormat="1" ht="12.75">
      <c r="A46" s="21"/>
      <c r="B46" s="271"/>
      <c r="C46" s="80" t="s">
        <v>949</v>
      </c>
    </row>
    <row r="47" spans="1:8" s="110" customFormat="1" ht="12.75">
      <c r="A47" s="21"/>
      <c r="B47" s="271"/>
      <c r="C47" s="109"/>
      <c r="D47" s="108"/>
      <c r="H47" s="549" t="s">
        <v>270</v>
      </c>
    </row>
    <row r="48" spans="1:11" s="110" customFormat="1" ht="60" customHeight="1">
      <c r="A48" s="21"/>
      <c r="B48" s="271"/>
      <c r="C48" s="124"/>
      <c r="D48" s="124"/>
      <c r="E48" s="125"/>
      <c r="F48" s="650" t="s">
        <v>850</v>
      </c>
      <c r="G48" s="682"/>
      <c r="H48" s="112" t="s">
        <v>688</v>
      </c>
      <c r="I48" s="112" t="s">
        <v>721</v>
      </c>
      <c r="J48" s="113" t="s">
        <v>722</v>
      </c>
      <c r="K48" s="112" t="s">
        <v>723</v>
      </c>
    </row>
    <row r="49" spans="1:11" s="110" customFormat="1" ht="14.25" customHeight="1">
      <c r="A49" s="21"/>
      <c r="B49" s="271"/>
      <c r="C49" s="124"/>
      <c r="D49" s="124" t="s">
        <v>689</v>
      </c>
      <c r="E49" s="453" t="s">
        <v>633</v>
      </c>
      <c r="F49" s="452">
        <f>'C. Masterfiles'!F99</f>
        <v>2009</v>
      </c>
      <c r="G49" s="452">
        <f>'C. Masterfiles'!G99</f>
        <v>2010</v>
      </c>
      <c r="H49" s="452"/>
      <c r="I49" s="454"/>
      <c r="J49" s="455"/>
      <c r="K49" s="456"/>
    </row>
    <row r="50" spans="1:11" s="110" customFormat="1" ht="12.75">
      <c r="A50" s="21"/>
      <c r="B50" s="271"/>
      <c r="C50" s="111" t="str">
        <f>'C. Masterfiles'!C53</f>
        <v>N01</v>
      </c>
      <c r="D50" s="111" t="str">
        <f>'C. Masterfiles'!D53</f>
        <v>Remote Access Unit</v>
      </c>
      <c r="E50" s="111" t="str">
        <f>'C. Masterfiles'!E53</f>
        <v>RAU</v>
      </c>
      <c r="F50" s="493">
        <f>IF('B. Dashboard'!$K$36=1,F33,IF('B. Dashboard'!$K$36=2,""))</f>
        <v>0</v>
      </c>
      <c r="G50" s="493">
        <f>IF('B. Dashboard'!$K$36=1,G33,IF('B. Dashboard'!$K$36=2,""))</f>
        <v>0</v>
      </c>
      <c r="H50" s="386">
        <v>1250</v>
      </c>
      <c r="I50" s="543" t="str">
        <f>'C. Masterfiles'!F53</f>
        <v>Subscribers</v>
      </c>
      <c r="J50" s="542">
        <v>6</v>
      </c>
      <c r="K50" s="311">
        <v>0.8</v>
      </c>
    </row>
    <row r="51" spans="1:11" s="110" customFormat="1" ht="12.75">
      <c r="A51" s="21"/>
      <c r="B51" s="271"/>
      <c r="C51" s="111" t="str">
        <f>'C. Masterfiles'!C54</f>
        <v>N02</v>
      </c>
      <c r="D51" s="111" t="str">
        <f>'C. Masterfiles'!D54</f>
        <v>Local Switch</v>
      </c>
      <c r="E51" s="111" t="str">
        <f>'C. Masterfiles'!E54</f>
        <v>LS</v>
      </c>
      <c r="F51" s="493">
        <f>IF('B. Dashboard'!$K$36=1,F34,IF('B. Dashboard'!$K$36=2,""))</f>
        <v>0</v>
      </c>
      <c r="G51" s="493">
        <f>IF('B. Dashboard'!$K$36=1,G34,IF('B. Dashboard'!$K$36=2,""))</f>
        <v>0</v>
      </c>
      <c r="H51" s="386">
        <v>1250</v>
      </c>
      <c r="I51" s="543" t="str">
        <f>'C. Masterfiles'!F54</f>
        <v>Subscribers</v>
      </c>
      <c r="J51" s="542">
        <v>6</v>
      </c>
      <c r="K51" s="311">
        <v>0.8</v>
      </c>
    </row>
    <row r="52" spans="1:11" s="110" customFormat="1" ht="12.75">
      <c r="A52" s="21"/>
      <c r="B52" s="271"/>
      <c r="C52" s="111" t="str">
        <f>'C. Masterfiles'!C55</f>
        <v>N03</v>
      </c>
      <c r="D52" s="111" t="str">
        <f>'C. Masterfiles'!D55</f>
        <v>Tandem Switch</v>
      </c>
      <c r="E52" s="111" t="str">
        <f>'C. Masterfiles'!E55</f>
        <v>TS</v>
      </c>
      <c r="F52" s="493">
        <f>IF('B. Dashboard'!$K$36=1,F35,IF('B. Dashboard'!$K$36=2,""))</f>
        <v>0</v>
      </c>
      <c r="G52" s="493">
        <f>IF('B. Dashboard'!$K$36=1,G35,IF('B. Dashboard'!$K$36=2,""))</f>
        <v>0</v>
      </c>
      <c r="H52" s="386">
        <v>1500</v>
      </c>
      <c r="I52" s="543" t="str">
        <f>'C. Masterfiles'!F55</f>
        <v>BHE</v>
      </c>
      <c r="J52" s="542">
        <v>6</v>
      </c>
      <c r="K52" s="311">
        <v>0.8</v>
      </c>
    </row>
    <row r="53" spans="1:11" s="110" customFormat="1" ht="12.75">
      <c r="A53" s="21"/>
      <c r="B53" s="271"/>
      <c r="C53" s="111" t="str">
        <f>'C. Masterfiles'!C56</f>
        <v>N04</v>
      </c>
      <c r="D53" s="111" t="str">
        <f>'C. Masterfiles'!D56</f>
        <v>International switching centre</v>
      </c>
      <c r="E53" s="111" t="str">
        <f>'C. Masterfiles'!E56</f>
        <v>ISC</v>
      </c>
      <c r="F53" s="493">
        <f>IF('B. Dashboard'!$K$36=1,F36,IF('B. Dashboard'!$K$36=2,""))</f>
        <v>0</v>
      </c>
      <c r="G53" s="493">
        <f>IF('B. Dashboard'!$K$36=1,G36,IF('B. Dashboard'!$K$36=2,""))</f>
        <v>0</v>
      </c>
      <c r="H53" s="386">
        <v>10000</v>
      </c>
      <c r="I53" s="543" t="str">
        <f>'C. Masterfiles'!F56</f>
        <v>BHE</v>
      </c>
      <c r="J53" s="542">
        <v>6</v>
      </c>
      <c r="K53" s="311">
        <v>0.8</v>
      </c>
    </row>
    <row r="54" spans="1:11" s="110" customFormat="1" ht="12.75">
      <c r="A54" s="21"/>
      <c r="B54" s="271"/>
      <c r="C54" s="111" t="str">
        <f>'C. Masterfiles'!C57</f>
        <v>N05</v>
      </c>
      <c r="D54" s="111" t="str">
        <f>'C. Masterfiles'!D57</f>
        <v>Interconnect gateway</v>
      </c>
      <c r="E54" s="111" t="str">
        <f>'C. Masterfiles'!E57</f>
        <v>IGW</v>
      </c>
      <c r="F54" s="493">
        <f>IF('B. Dashboard'!$K$36=1,F37,IF('B. Dashboard'!$K$36=2,""))</f>
        <v>0</v>
      </c>
      <c r="G54" s="493">
        <f>IF('B. Dashboard'!$K$36=1,G37,IF('B. Dashboard'!$K$36=2,""))</f>
        <v>0</v>
      </c>
      <c r="H54" s="407">
        <v>1000000</v>
      </c>
      <c r="I54" s="543" t="str">
        <f>'C. Masterfiles'!F57</f>
        <v>Subscribers</v>
      </c>
      <c r="J54" s="310">
        <v>9</v>
      </c>
      <c r="K54" s="311">
        <v>0.8</v>
      </c>
    </row>
    <row r="55" spans="1:11" s="110" customFormat="1" ht="12.75">
      <c r="A55" s="21"/>
      <c r="B55" s="271"/>
      <c r="C55" s="111" t="str">
        <f>'C. Masterfiles'!C58</f>
        <v>N06</v>
      </c>
      <c r="D55" s="111" t="str">
        <f>'C. Masterfiles'!D58</f>
        <v>Intelligent network </v>
      </c>
      <c r="E55" s="111" t="str">
        <f>'C. Masterfiles'!E58</f>
        <v>IN</v>
      </c>
      <c r="F55" s="493">
        <f>IF('B. Dashboard'!$K$36=1,F38,IF('B. Dashboard'!$K$36=2,""))</f>
        <v>0</v>
      </c>
      <c r="G55" s="493">
        <f>IF('B. Dashboard'!$K$36=1,G38,IF('B. Dashboard'!$K$36=2,""))</f>
        <v>0</v>
      </c>
      <c r="H55" s="407">
        <v>1600000</v>
      </c>
      <c r="I55" s="543" t="str">
        <f>'C. Masterfiles'!F58</f>
        <v>Subscribers</v>
      </c>
      <c r="J55" s="310">
        <v>9</v>
      </c>
      <c r="K55" s="311">
        <v>0.8</v>
      </c>
    </row>
    <row r="56" spans="1:11" s="110" customFormat="1" ht="12.75">
      <c r="A56" s="21"/>
      <c r="B56" s="271"/>
      <c r="C56" s="111" t="str">
        <f>'C. Masterfiles'!C59</f>
        <v>N07</v>
      </c>
      <c r="D56" s="111" t="str">
        <f>'C. Masterfiles'!D59</f>
        <v>Retail Billing System</v>
      </c>
      <c r="E56" s="111" t="str">
        <f>'C. Masterfiles'!E59</f>
        <v>RBIL</v>
      </c>
      <c r="F56" s="493">
        <f>IF('B. Dashboard'!$K$36=1,F39,IF('B. Dashboard'!$K$36=2,""))</f>
        <v>0</v>
      </c>
      <c r="G56" s="493">
        <f>IF('B. Dashboard'!$K$36=1,G39,IF('B. Dashboard'!$K$36=2,""))</f>
        <v>0</v>
      </c>
      <c r="H56" s="407">
        <v>1600000</v>
      </c>
      <c r="I56" s="543" t="str">
        <f>'C. Masterfiles'!F59</f>
        <v>Subscribers</v>
      </c>
      <c r="J56" s="310">
        <v>9</v>
      </c>
      <c r="K56" s="311">
        <v>0.8</v>
      </c>
    </row>
    <row r="57" spans="1:11" s="110" customFormat="1" ht="12.75">
      <c r="A57" s="21"/>
      <c r="B57" s="271"/>
      <c r="C57" s="111" t="str">
        <f>'C. Masterfiles'!C60</f>
        <v>N08</v>
      </c>
      <c r="D57" s="111" t="str">
        <f>'C. Masterfiles'!D60</f>
        <v>Interconnection Billing System</v>
      </c>
      <c r="E57" s="111" t="str">
        <f>'C. Masterfiles'!E60</f>
        <v>IBIL</v>
      </c>
      <c r="F57" s="493">
        <f>IF('B. Dashboard'!$K$36=1,F40,IF('B. Dashboard'!$K$36=2,""))</f>
        <v>0</v>
      </c>
      <c r="G57" s="493">
        <f>IF('B. Dashboard'!$K$36=1,G40,IF('B. Dashboard'!$K$36=2,""))</f>
        <v>0</v>
      </c>
      <c r="H57" s="407">
        <v>1600000</v>
      </c>
      <c r="I57" s="543" t="str">
        <f>'C. Masterfiles'!F60</f>
        <v>Subscribers</v>
      </c>
      <c r="J57" s="310">
        <v>9</v>
      </c>
      <c r="K57" s="311">
        <v>0.8</v>
      </c>
    </row>
    <row r="58" spans="1:11" s="110" customFormat="1" ht="12.75">
      <c r="A58" s="21"/>
      <c r="B58" s="271"/>
      <c r="C58" s="111" t="str">
        <f>'C. Masterfiles'!C61</f>
        <v>N09</v>
      </c>
      <c r="D58" s="111" t="str">
        <f>'C. Masterfiles'!D61</f>
        <v>Network management system</v>
      </c>
      <c r="E58" s="111" t="str">
        <f>'C. Masterfiles'!E61</f>
        <v>NMS</v>
      </c>
      <c r="F58" s="493">
        <f>IF('B. Dashboard'!$K$36=1,F41,IF('B. Dashboard'!$K$36=2,""))</f>
        <v>0</v>
      </c>
      <c r="G58" s="493">
        <f>IF('B. Dashboard'!$K$36=1,G41,IF('B. Dashboard'!$K$36=2,""))</f>
        <v>0</v>
      </c>
      <c r="H58" s="407">
        <v>1600000</v>
      </c>
      <c r="I58" s="543" t="str">
        <f>'C. Masterfiles'!F61</f>
        <v>Subscribers</v>
      </c>
      <c r="J58" s="310">
        <v>9</v>
      </c>
      <c r="K58" s="311">
        <v>0.8</v>
      </c>
    </row>
    <row r="59" spans="1:11" s="110" customFormat="1" ht="12.75">
      <c r="A59" s="21"/>
      <c r="B59" s="271"/>
      <c r="C59" s="111" t="str">
        <f>'C. Masterfiles'!C62</f>
        <v>N10</v>
      </c>
      <c r="D59" s="111" t="str">
        <f>'C. Masterfiles'!D62</f>
        <v>Operational support system</v>
      </c>
      <c r="E59" s="111" t="str">
        <f>'C. Masterfiles'!E62</f>
        <v>OSS</v>
      </c>
      <c r="F59" s="493">
        <f>IF('B. Dashboard'!$K$36=1,F42,IF('B. Dashboard'!$K$36=2,""))</f>
        <v>0</v>
      </c>
      <c r="G59" s="493">
        <f>IF('B. Dashboard'!$K$36=1,G42,IF('B. Dashboard'!$K$36=2,""))</f>
        <v>0</v>
      </c>
      <c r="H59" s="407">
        <v>1600000</v>
      </c>
      <c r="I59" s="543" t="str">
        <f>'C. Masterfiles'!F62</f>
        <v>Subscribers</v>
      </c>
      <c r="J59" s="310">
        <v>9</v>
      </c>
      <c r="K59" s="311">
        <v>0.8</v>
      </c>
    </row>
    <row r="60" spans="1:15" ht="12.75">
      <c r="A60" s="21"/>
      <c r="C60" s="111" t="str">
        <f>'C. Masterfiles'!C63</f>
        <v>End</v>
      </c>
      <c r="D60" s="111" t="str">
        <f>'C. Masterfiles'!D63</f>
        <v>End of list</v>
      </c>
      <c r="E60" s="111" t="str">
        <f>'C. Masterfiles'!E63</f>
        <v>End</v>
      </c>
      <c r="F60" s="156"/>
      <c r="G60" s="156"/>
      <c r="H60" s="156"/>
      <c r="I60" s="183"/>
      <c r="J60" s="183"/>
      <c r="K60" s="156"/>
      <c r="L60" s="110"/>
      <c r="M60" s="110"/>
      <c r="N60" s="110"/>
      <c r="O60" s="110"/>
    </row>
    <row r="61" spans="1:15" ht="12.75">
      <c r="A61" s="21"/>
      <c r="C61" s="348"/>
      <c r="D61" s="348"/>
      <c r="E61" s="348"/>
      <c r="F61" s="419"/>
      <c r="G61" s="110"/>
      <c r="H61" s="110"/>
      <c r="I61" s="110"/>
      <c r="J61" s="110"/>
      <c r="K61" s="110"/>
      <c r="L61" s="110"/>
      <c r="M61" s="110"/>
      <c r="N61" s="110"/>
      <c r="O61" s="110"/>
    </row>
    <row r="62" spans="1:28" ht="12.75">
      <c r="A62" s="21"/>
      <c r="B62" s="53"/>
      <c r="C62" s="51"/>
      <c r="D62" s="45"/>
      <c r="E62" s="64"/>
      <c r="F62" s="420"/>
      <c r="G62" s="47"/>
      <c r="H62" s="47"/>
      <c r="I62" s="36"/>
      <c r="J62" s="36"/>
      <c r="K62" s="36"/>
      <c r="L62" s="36"/>
      <c r="M62" s="3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>
      <c r="A63" s="21"/>
      <c r="B63" s="272">
        <f>B27+0.01</f>
        <v>3.0299999999999994</v>
      </c>
      <c r="C63" s="29" t="s">
        <v>955</v>
      </c>
      <c r="D63" s="45"/>
      <c r="E63" s="50"/>
      <c r="F63" s="50"/>
      <c r="G63" s="50"/>
      <c r="H63" s="50"/>
      <c r="I63" s="50"/>
      <c r="J63" s="50"/>
      <c r="K63" s="50"/>
      <c r="L63" s="50"/>
      <c r="M63" s="5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>
      <c r="A64" s="21"/>
      <c r="B64" s="272"/>
      <c r="C64" s="29"/>
      <c r="D64" s="45"/>
      <c r="E64" s="50"/>
      <c r="F64" s="50"/>
      <c r="G64" s="50"/>
      <c r="H64" s="50"/>
      <c r="I64" s="50"/>
      <c r="J64" s="50"/>
      <c r="K64" s="50"/>
      <c r="L64" s="50"/>
      <c r="M64" s="5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6" s="110" customFormat="1" ht="12.75">
      <c r="A65" s="21"/>
      <c r="B65" s="271"/>
      <c r="C65" s="506" t="s">
        <v>111</v>
      </c>
      <c r="F65" s="419"/>
    </row>
    <row r="66" spans="1:31" ht="15.75">
      <c r="A66" s="21"/>
      <c r="B66" s="272"/>
      <c r="C66" s="272"/>
      <c r="D66" s="272"/>
      <c r="E66" s="272"/>
      <c r="F66" s="549" t="s">
        <v>270</v>
      </c>
      <c r="G66" s="272"/>
      <c r="H66" s="272"/>
      <c r="I66" s="272"/>
      <c r="J66" s="272"/>
      <c r="K66" s="272"/>
      <c r="L66" s="272"/>
      <c r="M66" s="45"/>
      <c r="N66" s="45"/>
      <c r="O66" s="45"/>
      <c r="P66" s="50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2" ht="15.75">
      <c r="A67" s="21"/>
      <c r="B67" s="272"/>
      <c r="C67" s="546"/>
      <c r="D67" s="512" t="s">
        <v>28</v>
      </c>
      <c r="E67" s="544" t="s">
        <v>693</v>
      </c>
      <c r="F67" s="544" t="s">
        <v>106</v>
      </c>
      <c r="G67" s="544" t="s">
        <v>107</v>
      </c>
      <c r="H67" s="544" t="s">
        <v>108</v>
      </c>
      <c r="I67" s="544" t="s">
        <v>950</v>
      </c>
      <c r="J67" s="544" t="s">
        <v>951</v>
      </c>
      <c r="K67" s="544" t="s">
        <v>952</v>
      </c>
      <c r="L67" s="544" t="s">
        <v>635</v>
      </c>
      <c r="M67" s="272"/>
      <c r="N67" s="45"/>
      <c r="O67" s="45"/>
      <c r="P67" s="45"/>
      <c r="Q67" s="50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5.75">
      <c r="A68" s="21"/>
      <c r="B68" s="272"/>
      <c r="C68" s="545" t="str">
        <f aca="true" t="shared" si="0" ref="C68:D76">C146</f>
        <v>T01</v>
      </c>
      <c r="D68" s="545" t="str">
        <f t="shared" si="0"/>
        <v>Rau-TS</v>
      </c>
      <c r="E68" s="496">
        <v>400</v>
      </c>
      <c r="F68" s="496">
        <v>100</v>
      </c>
      <c r="G68" s="496"/>
      <c r="H68" s="496"/>
      <c r="I68" s="496"/>
      <c r="J68" s="496"/>
      <c r="K68" s="496"/>
      <c r="L68" s="553">
        <f>SUM(E68:K68)</f>
        <v>500</v>
      </c>
      <c r="M68" s="272"/>
      <c r="N68" s="45"/>
      <c r="O68" s="45"/>
      <c r="P68" s="45"/>
      <c r="Q68" s="50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5.75">
      <c r="A69" s="21"/>
      <c r="B69" s="272"/>
      <c r="C69" s="545" t="str">
        <f t="shared" si="0"/>
        <v>T02</v>
      </c>
      <c r="D69" s="545" t="str">
        <f t="shared" si="0"/>
        <v>LS-TS</v>
      </c>
      <c r="E69" s="496">
        <v>500</v>
      </c>
      <c r="F69" s="496">
        <v>50</v>
      </c>
      <c r="G69" s="496"/>
      <c r="H69" s="496"/>
      <c r="I69" s="496"/>
      <c r="J69" s="496"/>
      <c r="K69" s="496"/>
      <c r="L69" s="553">
        <f aca="true" t="shared" si="1" ref="L69:L76">SUM(E69:K69)</f>
        <v>550</v>
      </c>
      <c r="M69" s="272"/>
      <c r="N69" s="45"/>
      <c r="O69" s="45"/>
      <c r="P69" s="45"/>
      <c r="Q69" s="50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5.75">
      <c r="A70" s="21"/>
      <c r="B70" s="272"/>
      <c r="C70" s="545" t="str">
        <f t="shared" si="0"/>
        <v>T03</v>
      </c>
      <c r="D70" s="545" t="str">
        <f t="shared" si="0"/>
        <v>TS-TS</v>
      </c>
      <c r="E70" s="496"/>
      <c r="F70" s="496">
        <v>2</v>
      </c>
      <c r="G70" s="496"/>
      <c r="H70" s="496"/>
      <c r="I70" s="496"/>
      <c r="J70" s="496"/>
      <c r="K70" s="496"/>
      <c r="L70" s="553">
        <f t="shared" si="1"/>
        <v>2</v>
      </c>
      <c r="M70" s="272"/>
      <c r="N70" s="45"/>
      <c r="O70" s="45"/>
      <c r="P70" s="45"/>
      <c r="Q70" s="50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5.75">
      <c r="A71" s="21"/>
      <c r="B71" s="272"/>
      <c r="C71" s="545" t="str">
        <f t="shared" si="0"/>
        <v>T04</v>
      </c>
      <c r="D71" s="545" t="str">
        <f t="shared" si="0"/>
        <v>TS-ISC</v>
      </c>
      <c r="E71" s="496"/>
      <c r="F71" s="496">
        <v>2</v>
      </c>
      <c r="G71" s="496"/>
      <c r="H71" s="496"/>
      <c r="I71" s="496"/>
      <c r="J71" s="496"/>
      <c r="K71" s="496"/>
      <c r="L71" s="553">
        <f t="shared" si="1"/>
        <v>2</v>
      </c>
      <c r="M71" s="548"/>
      <c r="N71" s="45"/>
      <c r="O71" s="45"/>
      <c r="P71" s="45"/>
      <c r="Q71" s="50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5.75">
      <c r="A72" s="21"/>
      <c r="B72" s="272"/>
      <c r="C72" s="545" t="str">
        <f t="shared" si="0"/>
        <v>T05</v>
      </c>
      <c r="D72" s="545" t="str">
        <f t="shared" si="0"/>
        <v>ISC-ISC</v>
      </c>
      <c r="E72" s="496"/>
      <c r="F72" s="496">
        <v>2</v>
      </c>
      <c r="G72" s="496"/>
      <c r="H72" s="496"/>
      <c r="I72" s="496"/>
      <c r="J72" s="496"/>
      <c r="K72" s="496"/>
      <c r="L72" s="553">
        <f t="shared" si="1"/>
        <v>2</v>
      </c>
      <c r="M72" s="548"/>
      <c r="N72" s="45"/>
      <c r="O72" s="45"/>
      <c r="P72" s="45"/>
      <c r="Q72" s="50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5.75">
      <c r="A73" s="21"/>
      <c r="B73" s="272"/>
      <c r="C73" s="545" t="str">
        <f t="shared" si="0"/>
        <v>T06</v>
      </c>
      <c r="D73" s="545" t="str">
        <f t="shared" si="0"/>
        <v>ISC-IN</v>
      </c>
      <c r="E73" s="496"/>
      <c r="F73" s="496">
        <v>2</v>
      </c>
      <c r="G73" s="496"/>
      <c r="H73" s="496"/>
      <c r="I73" s="496"/>
      <c r="J73" s="496"/>
      <c r="K73" s="496"/>
      <c r="L73" s="553">
        <f t="shared" si="1"/>
        <v>2</v>
      </c>
      <c r="M73" s="548"/>
      <c r="N73" s="45"/>
      <c r="O73" s="45"/>
      <c r="P73" s="45"/>
      <c r="Q73" s="50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5.75">
      <c r="A74" s="21"/>
      <c r="B74" s="272"/>
      <c r="C74" s="545" t="str">
        <f t="shared" si="0"/>
        <v>T07</v>
      </c>
      <c r="D74" s="545" t="str">
        <f t="shared" si="0"/>
        <v>TS-IN</v>
      </c>
      <c r="E74" s="496"/>
      <c r="F74" s="496">
        <v>3</v>
      </c>
      <c r="G74" s="496"/>
      <c r="H74" s="496"/>
      <c r="I74" s="496"/>
      <c r="J74" s="496"/>
      <c r="K74" s="496"/>
      <c r="L74" s="553">
        <f t="shared" si="1"/>
        <v>3</v>
      </c>
      <c r="M74" s="548"/>
      <c r="N74" s="45"/>
      <c r="O74" s="45"/>
      <c r="P74" s="45"/>
      <c r="Q74" s="50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5.75">
      <c r="A75" s="21"/>
      <c r="B75" s="272"/>
      <c r="C75" s="545" t="str">
        <f t="shared" si="0"/>
        <v>T08</v>
      </c>
      <c r="D75" s="545" t="str">
        <f t="shared" si="0"/>
        <v>TS-IGW</v>
      </c>
      <c r="E75" s="496">
        <v>200</v>
      </c>
      <c r="F75" s="496">
        <v>6</v>
      </c>
      <c r="G75" s="496"/>
      <c r="H75" s="496"/>
      <c r="I75" s="496"/>
      <c r="J75" s="496"/>
      <c r="K75" s="496"/>
      <c r="L75" s="553">
        <f t="shared" si="1"/>
        <v>206</v>
      </c>
      <c r="M75" s="272"/>
      <c r="N75" s="45"/>
      <c r="O75" s="45"/>
      <c r="P75" s="45"/>
      <c r="Q75" s="50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21"/>
      <c r="B76" s="272"/>
      <c r="C76" s="545" t="str">
        <f t="shared" si="0"/>
        <v>T09</v>
      </c>
      <c r="D76" s="545" t="str">
        <f t="shared" si="0"/>
        <v>LS-LS</v>
      </c>
      <c r="E76" s="496">
        <v>50</v>
      </c>
      <c r="F76" s="496"/>
      <c r="G76" s="496"/>
      <c r="H76" s="496"/>
      <c r="I76" s="496"/>
      <c r="J76" s="496"/>
      <c r="K76" s="496"/>
      <c r="L76" s="553">
        <f t="shared" si="1"/>
        <v>50</v>
      </c>
      <c r="M76" s="272"/>
      <c r="N76" s="45"/>
      <c r="O76" s="45"/>
      <c r="P76" s="45"/>
      <c r="Q76" s="50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28" ht="15.75">
      <c r="A77" s="21"/>
      <c r="B77" s="272"/>
      <c r="C77" s="350"/>
      <c r="D77" s="350"/>
      <c r="E77" s="350"/>
      <c r="F77" s="350"/>
      <c r="G77" s="498"/>
      <c r="H77" s="272"/>
      <c r="I77" s="272"/>
      <c r="J77" s="45"/>
      <c r="K77" s="45"/>
      <c r="L77" s="45"/>
      <c r="M77" s="5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>
      <c r="A78" s="21"/>
      <c r="B78" s="272"/>
      <c r="C78" s="506" t="s">
        <v>110</v>
      </c>
      <c r="D78" s="350"/>
      <c r="E78" s="350"/>
      <c r="F78" s="350"/>
      <c r="G78" s="498"/>
      <c r="H78" s="272"/>
      <c r="I78" s="272"/>
      <c r="J78" s="45"/>
      <c r="K78" s="45"/>
      <c r="L78" s="45"/>
      <c r="M78" s="5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>
      <c r="A79" s="21"/>
      <c r="B79" s="272"/>
      <c r="C79" s="506"/>
      <c r="D79" s="549" t="s">
        <v>270</v>
      </c>
      <c r="E79" s="350"/>
      <c r="F79" s="350"/>
      <c r="G79" s="498"/>
      <c r="H79" s="272"/>
      <c r="I79" s="272"/>
      <c r="J79" s="45"/>
      <c r="K79" s="45"/>
      <c r="L79" s="45"/>
      <c r="M79" s="5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>
      <c r="A80" s="21"/>
      <c r="B80" s="272"/>
      <c r="C80" s="350"/>
      <c r="D80" s="512" t="s">
        <v>199</v>
      </c>
      <c r="E80" s="544" t="s">
        <v>693</v>
      </c>
      <c r="F80" s="350"/>
      <c r="G80" s="498"/>
      <c r="H80" s="272"/>
      <c r="I80" s="272"/>
      <c r="J80" s="45"/>
      <c r="K80" s="45"/>
      <c r="L80" s="45"/>
      <c r="M80" s="5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>
      <c r="A81" s="21"/>
      <c r="B81" s="272"/>
      <c r="C81" s="350"/>
      <c r="D81" s="545" t="str">
        <f aca="true" t="shared" si="2" ref="D81:D89">D94</f>
        <v>Rau-TS</v>
      </c>
      <c r="E81" s="308">
        <v>0.7</v>
      </c>
      <c r="F81" s="350"/>
      <c r="G81" s="498"/>
      <c r="H81" s="272"/>
      <c r="I81" s="272"/>
      <c r="J81" s="45"/>
      <c r="K81" s="45"/>
      <c r="L81" s="45"/>
      <c r="M81" s="5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>
      <c r="A82" s="21"/>
      <c r="B82" s="272"/>
      <c r="C82" s="350"/>
      <c r="D82" s="545" t="str">
        <f t="shared" si="2"/>
        <v>LS-TS</v>
      </c>
      <c r="E82" s="308">
        <v>0.7</v>
      </c>
      <c r="F82" s="350"/>
      <c r="G82" s="498"/>
      <c r="H82" s="272"/>
      <c r="I82" s="272"/>
      <c r="J82" s="45"/>
      <c r="K82" s="45"/>
      <c r="L82" s="45"/>
      <c r="M82" s="5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>
      <c r="A83" s="21"/>
      <c r="B83" s="272"/>
      <c r="C83" s="350"/>
      <c r="D83" s="545" t="str">
        <f t="shared" si="2"/>
        <v>TS-TS</v>
      </c>
      <c r="E83" s="308">
        <v>0.7</v>
      </c>
      <c r="F83" s="350"/>
      <c r="G83" s="498"/>
      <c r="H83" s="272"/>
      <c r="I83" s="272"/>
      <c r="J83" s="45"/>
      <c r="K83" s="45"/>
      <c r="L83" s="45"/>
      <c r="M83" s="5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.75">
      <c r="A84" s="21"/>
      <c r="B84" s="272"/>
      <c r="C84" s="350"/>
      <c r="D84" s="545" t="str">
        <f t="shared" si="2"/>
        <v>TS-ISC</v>
      </c>
      <c r="E84" s="308">
        <v>0.7</v>
      </c>
      <c r="F84" s="350"/>
      <c r="G84" s="498"/>
      <c r="H84" s="272"/>
      <c r="I84" s="272"/>
      <c r="J84" s="45"/>
      <c r="K84" s="45"/>
      <c r="L84" s="45"/>
      <c r="M84" s="5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.75">
      <c r="A85" s="21"/>
      <c r="B85" s="272"/>
      <c r="C85" s="350"/>
      <c r="D85" s="545" t="str">
        <f t="shared" si="2"/>
        <v>ISC-ISC</v>
      </c>
      <c r="E85" s="308">
        <v>0.7</v>
      </c>
      <c r="F85" s="350"/>
      <c r="G85" s="498"/>
      <c r="H85" s="272"/>
      <c r="I85" s="272"/>
      <c r="J85" s="45"/>
      <c r="K85" s="45"/>
      <c r="L85" s="45"/>
      <c r="M85" s="5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75">
      <c r="A86" s="21"/>
      <c r="B86" s="272"/>
      <c r="C86" s="350"/>
      <c r="D86" s="545" t="str">
        <f t="shared" si="2"/>
        <v>ISC-IN</v>
      </c>
      <c r="E86" s="308">
        <v>0.15</v>
      </c>
      <c r="F86" s="350"/>
      <c r="G86" s="498"/>
      <c r="H86" s="272"/>
      <c r="I86" s="272"/>
      <c r="J86" s="45"/>
      <c r="K86" s="45"/>
      <c r="L86" s="45"/>
      <c r="M86" s="5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.75">
      <c r="A87" s="21"/>
      <c r="B87" s="272"/>
      <c r="C87" s="350"/>
      <c r="D87" s="545" t="str">
        <f t="shared" si="2"/>
        <v>TS-IN</v>
      </c>
      <c r="E87" s="308">
        <v>0.15</v>
      </c>
      <c r="F87" s="350"/>
      <c r="G87" s="498"/>
      <c r="H87" s="272"/>
      <c r="I87" s="272"/>
      <c r="J87" s="45"/>
      <c r="K87" s="45"/>
      <c r="L87" s="45"/>
      <c r="M87" s="5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.75">
      <c r="A88" s="21"/>
      <c r="B88" s="272"/>
      <c r="C88" s="350"/>
      <c r="D88" s="545" t="str">
        <f t="shared" si="2"/>
        <v>TS-IGW</v>
      </c>
      <c r="E88" s="308">
        <v>0.7</v>
      </c>
      <c r="F88" s="350"/>
      <c r="G88" s="498"/>
      <c r="H88" s="272"/>
      <c r="I88" s="272"/>
      <c r="J88" s="45"/>
      <c r="K88" s="45"/>
      <c r="L88" s="45"/>
      <c r="M88" s="5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.75">
      <c r="A89" s="21"/>
      <c r="B89" s="272"/>
      <c r="C89" s="350"/>
      <c r="D89" s="545" t="str">
        <f t="shared" si="2"/>
        <v>LS-LS</v>
      </c>
      <c r="E89" s="308">
        <v>0.7</v>
      </c>
      <c r="F89" s="350"/>
      <c r="G89" s="498"/>
      <c r="H89" s="272"/>
      <c r="I89" s="272"/>
      <c r="J89" s="45"/>
      <c r="K89" s="45"/>
      <c r="L89" s="45"/>
      <c r="M89" s="5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.75">
      <c r="A90" s="21"/>
      <c r="B90" s="272"/>
      <c r="C90" s="350"/>
      <c r="D90" s="350"/>
      <c r="E90" s="350"/>
      <c r="F90" s="350"/>
      <c r="G90" s="549" t="s">
        <v>270</v>
      </c>
      <c r="H90" s="272"/>
      <c r="I90" s="272"/>
      <c r="J90" s="45"/>
      <c r="K90" s="45"/>
      <c r="L90" s="45"/>
      <c r="M90" s="5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31" ht="15.75">
      <c r="A91" s="21"/>
      <c r="B91" s="272"/>
      <c r="C91" s="272"/>
      <c r="D91" s="512" t="s">
        <v>35</v>
      </c>
      <c r="E91" s="544" t="s">
        <v>693</v>
      </c>
      <c r="F91" s="544" t="s">
        <v>106</v>
      </c>
      <c r="G91" s="544" t="s">
        <v>107</v>
      </c>
      <c r="H91" s="544" t="s">
        <v>108</v>
      </c>
      <c r="I91" s="544" t="s">
        <v>950</v>
      </c>
      <c r="J91" s="544" t="s">
        <v>951</v>
      </c>
      <c r="K91" s="544" t="s">
        <v>952</v>
      </c>
      <c r="L91" s="272"/>
      <c r="M91" s="45"/>
      <c r="N91" s="45"/>
      <c r="O91" s="45"/>
      <c r="P91" s="50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5.75">
      <c r="A92" s="21"/>
      <c r="B92" s="272"/>
      <c r="C92" s="272"/>
      <c r="D92" s="545" t="s">
        <v>961</v>
      </c>
      <c r="E92" s="496">
        <v>1</v>
      </c>
      <c r="F92" s="496">
        <v>4</v>
      </c>
      <c r="G92" s="496">
        <v>8</v>
      </c>
      <c r="H92" s="496">
        <v>16</v>
      </c>
      <c r="I92" s="496">
        <v>60</v>
      </c>
      <c r="J92" s="496">
        <v>240</v>
      </c>
      <c r="K92" s="496">
        <v>960</v>
      </c>
      <c r="L92" s="272"/>
      <c r="M92" s="45"/>
      <c r="N92" s="45"/>
      <c r="O92" s="45"/>
      <c r="P92" s="50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5.75">
      <c r="A93" s="21"/>
      <c r="B93" s="272"/>
      <c r="C93" s="546"/>
      <c r="D93" s="511" t="s">
        <v>198</v>
      </c>
      <c r="E93" s="544" t="s">
        <v>693</v>
      </c>
      <c r="F93" s="544" t="s">
        <v>106</v>
      </c>
      <c r="G93" s="544" t="s">
        <v>107</v>
      </c>
      <c r="H93" s="544" t="s">
        <v>108</v>
      </c>
      <c r="I93" s="544" t="s">
        <v>950</v>
      </c>
      <c r="J93" s="544" t="s">
        <v>951</v>
      </c>
      <c r="K93" s="544" t="s">
        <v>952</v>
      </c>
      <c r="L93" s="272"/>
      <c r="M93" s="45"/>
      <c r="N93" s="45"/>
      <c r="O93" s="45"/>
      <c r="P93" s="50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5.75">
      <c r="A94" s="21"/>
      <c r="B94" s="272"/>
      <c r="C94" s="545" t="str">
        <f aca="true" t="shared" si="3" ref="C94:D102">C133</f>
        <v>T01</v>
      </c>
      <c r="D94" s="545" t="str">
        <f t="shared" si="3"/>
        <v>Rau-TS</v>
      </c>
      <c r="E94" s="308">
        <v>1</v>
      </c>
      <c r="F94" s="308">
        <v>0.625</v>
      </c>
      <c r="G94" s="308">
        <v>0.8125</v>
      </c>
      <c r="H94" s="308">
        <v>0.8125</v>
      </c>
      <c r="I94" s="308">
        <v>0.75</v>
      </c>
      <c r="J94" s="308">
        <v>0.625</v>
      </c>
      <c r="K94" s="308">
        <v>0.625</v>
      </c>
      <c r="L94" s="272"/>
      <c r="M94" s="45"/>
      <c r="N94" s="45"/>
      <c r="O94" s="45"/>
      <c r="P94" s="50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5.75">
      <c r="A95" s="21"/>
      <c r="B95" s="272"/>
      <c r="C95" s="545" t="str">
        <f t="shared" si="3"/>
        <v>T02</v>
      </c>
      <c r="D95" s="545" t="str">
        <f t="shared" si="3"/>
        <v>LS-TS</v>
      </c>
      <c r="E95" s="308">
        <v>1</v>
      </c>
      <c r="F95" s="308">
        <v>0.625</v>
      </c>
      <c r="G95" s="308">
        <v>0.8125</v>
      </c>
      <c r="H95" s="308">
        <v>0.8125</v>
      </c>
      <c r="I95" s="308">
        <v>0.75</v>
      </c>
      <c r="J95" s="308">
        <v>0.625</v>
      </c>
      <c r="K95" s="308">
        <v>0.625</v>
      </c>
      <c r="L95" s="272"/>
      <c r="M95" s="45"/>
      <c r="N95" s="45"/>
      <c r="O95" s="45"/>
      <c r="P95" s="50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5.75">
      <c r="A96" s="21"/>
      <c r="B96" s="272"/>
      <c r="C96" s="545" t="str">
        <f t="shared" si="3"/>
        <v>T03</v>
      </c>
      <c r="D96" s="545" t="str">
        <f t="shared" si="3"/>
        <v>TS-TS</v>
      </c>
      <c r="E96" s="308">
        <v>1</v>
      </c>
      <c r="F96" s="308">
        <v>0.625</v>
      </c>
      <c r="G96" s="308">
        <v>0.8125</v>
      </c>
      <c r="H96" s="308">
        <v>0.8125</v>
      </c>
      <c r="I96" s="308">
        <v>0.75</v>
      </c>
      <c r="J96" s="308">
        <v>0.625</v>
      </c>
      <c r="K96" s="308">
        <v>0.625</v>
      </c>
      <c r="L96" s="272"/>
      <c r="M96" s="45"/>
      <c r="N96" s="45"/>
      <c r="O96" s="45"/>
      <c r="P96" s="50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5.75">
      <c r="A97" s="21"/>
      <c r="B97" s="272"/>
      <c r="C97" s="545" t="str">
        <f t="shared" si="3"/>
        <v>T04</v>
      </c>
      <c r="D97" s="545" t="str">
        <f t="shared" si="3"/>
        <v>TS-ISC</v>
      </c>
      <c r="E97" s="308">
        <v>1</v>
      </c>
      <c r="F97" s="308">
        <v>0.625</v>
      </c>
      <c r="G97" s="308">
        <v>0.8125</v>
      </c>
      <c r="H97" s="308">
        <v>0.8125</v>
      </c>
      <c r="I97" s="308">
        <v>0.75</v>
      </c>
      <c r="J97" s="308">
        <v>0.625</v>
      </c>
      <c r="K97" s="308">
        <v>0.625</v>
      </c>
      <c r="L97" s="272"/>
      <c r="M97" s="45"/>
      <c r="N97" s="45"/>
      <c r="O97" s="45"/>
      <c r="P97" s="50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5.75">
      <c r="A98" s="21"/>
      <c r="B98" s="272"/>
      <c r="C98" s="545" t="str">
        <f t="shared" si="3"/>
        <v>T05</v>
      </c>
      <c r="D98" s="545" t="str">
        <f t="shared" si="3"/>
        <v>ISC-ISC</v>
      </c>
      <c r="E98" s="308">
        <v>1</v>
      </c>
      <c r="F98" s="308">
        <v>0.625</v>
      </c>
      <c r="G98" s="308">
        <v>0.8125</v>
      </c>
      <c r="H98" s="308">
        <v>0.8125</v>
      </c>
      <c r="I98" s="308">
        <v>0.75</v>
      </c>
      <c r="J98" s="308">
        <v>0.625</v>
      </c>
      <c r="K98" s="308">
        <v>0.625</v>
      </c>
      <c r="L98" s="272"/>
      <c r="M98" s="45"/>
      <c r="N98" s="45"/>
      <c r="O98" s="45"/>
      <c r="P98" s="50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5.75">
      <c r="A99" s="21"/>
      <c r="B99" s="272"/>
      <c r="C99" s="545" t="str">
        <f t="shared" si="3"/>
        <v>T06</v>
      </c>
      <c r="D99" s="545" t="str">
        <f t="shared" si="3"/>
        <v>ISC-IN</v>
      </c>
      <c r="E99" s="308">
        <v>1</v>
      </c>
      <c r="F99" s="308">
        <v>0.625</v>
      </c>
      <c r="G99" s="308">
        <v>0.8125</v>
      </c>
      <c r="H99" s="308">
        <v>0.8125</v>
      </c>
      <c r="I99" s="308">
        <v>0.75</v>
      </c>
      <c r="J99" s="308">
        <v>0.625</v>
      </c>
      <c r="K99" s="308">
        <v>0.625</v>
      </c>
      <c r="L99" s="272"/>
      <c r="M99" s="45"/>
      <c r="N99" s="45"/>
      <c r="O99" s="45"/>
      <c r="P99" s="50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5.75">
      <c r="A100" s="21"/>
      <c r="B100" s="272"/>
      <c r="C100" s="545" t="str">
        <f t="shared" si="3"/>
        <v>T07</v>
      </c>
      <c r="D100" s="545" t="str">
        <f t="shared" si="3"/>
        <v>TS-IN</v>
      </c>
      <c r="E100" s="308">
        <v>1</v>
      </c>
      <c r="F100" s="308">
        <v>0.625</v>
      </c>
      <c r="G100" s="308">
        <v>0.8125</v>
      </c>
      <c r="H100" s="308">
        <v>0.8125</v>
      </c>
      <c r="I100" s="308">
        <v>0.75</v>
      </c>
      <c r="J100" s="308">
        <v>0.625</v>
      </c>
      <c r="K100" s="308">
        <v>0.625</v>
      </c>
      <c r="L100" s="272"/>
      <c r="M100" s="45"/>
      <c r="N100" s="45"/>
      <c r="O100" s="45"/>
      <c r="P100" s="50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5.75">
      <c r="A101" s="21"/>
      <c r="B101" s="272"/>
      <c r="C101" s="545" t="str">
        <f t="shared" si="3"/>
        <v>T08</v>
      </c>
      <c r="D101" s="545" t="str">
        <f t="shared" si="3"/>
        <v>TS-IGW</v>
      </c>
      <c r="E101" s="308">
        <v>1</v>
      </c>
      <c r="F101" s="308">
        <v>0.625</v>
      </c>
      <c r="G101" s="308">
        <v>0.8125</v>
      </c>
      <c r="H101" s="308">
        <v>0.8125</v>
      </c>
      <c r="I101" s="308">
        <v>0.75</v>
      </c>
      <c r="J101" s="308">
        <v>0.625</v>
      </c>
      <c r="K101" s="308">
        <v>0.625</v>
      </c>
      <c r="L101" s="272"/>
      <c r="M101" s="45"/>
      <c r="N101" s="45"/>
      <c r="O101" s="45"/>
      <c r="P101" s="50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5.75">
      <c r="A102" s="21"/>
      <c r="B102" s="272"/>
      <c r="C102" s="545" t="str">
        <f t="shared" si="3"/>
        <v>T09</v>
      </c>
      <c r="D102" s="545" t="str">
        <f t="shared" si="3"/>
        <v>LS-LS</v>
      </c>
      <c r="E102" s="308">
        <v>1</v>
      </c>
      <c r="F102" s="308">
        <v>0.625</v>
      </c>
      <c r="G102" s="308">
        <v>0.8125</v>
      </c>
      <c r="H102" s="308">
        <v>0.8125</v>
      </c>
      <c r="I102" s="308">
        <v>0.75</v>
      </c>
      <c r="J102" s="308">
        <v>0.625</v>
      </c>
      <c r="K102" s="308">
        <v>0.625</v>
      </c>
      <c r="L102" s="272"/>
      <c r="M102" s="45"/>
      <c r="N102" s="45"/>
      <c r="O102" s="45"/>
      <c r="P102" s="50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28" ht="15.75">
      <c r="A103" s="21"/>
      <c r="B103" s="272"/>
      <c r="C103" s="272"/>
      <c r="D103" s="272"/>
      <c r="E103" s="272"/>
      <c r="F103" s="272"/>
      <c r="G103" s="272"/>
      <c r="H103" s="272"/>
      <c r="I103" s="272"/>
      <c r="J103" s="45"/>
      <c r="K103" s="45"/>
      <c r="L103" s="45"/>
      <c r="M103" s="5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.75">
      <c r="A104" s="21"/>
      <c r="B104" s="272"/>
      <c r="C104" s="506" t="s">
        <v>112</v>
      </c>
      <c r="D104" s="110"/>
      <c r="E104" s="110"/>
      <c r="F104" s="419"/>
      <c r="G104" s="110"/>
      <c r="H104" s="110"/>
      <c r="I104" s="110"/>
      <c r="J104" s="110"/>
      <c r="K104" s="110"/>
      <c r="L104" s="45"/>
      <c r="M104" s="5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.75">
      <c r="A105" s="21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45"/>
      <c r="M105" s="5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.75">
      <c r="A106" s="21"/>
      <c r="B106" s="272"/>
      <c r="C106" s="546"/>
      <c r="D106" s="512"/>
      <c r="E106" s="544" t="s">
        <v>693</v>
      </c>
      <c r="F106" s="544" t="s">
        <v>106</v>
      </c>
      <c r="G106" s="544" t="s">
        <v>107</v>
      </c>
      <c r="H106" s="544" t="s">
        <v>108</v>
      </c>
      <c r="I106" s="544" t="s">
        <v>950</v>
      </c>
      <c r="J106" s="544" t="s">
        <v>951</v>
      </c>
      <c r="K106" s="544" t="s">
        <v>952</v>
      </c>
      <c r="L106" s="45"/>
      <c r="M106" s="5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.75">
      <c r="A107" s="21"/>
      <c r="B107" s="272"/>
      <c r="C107" s="545" t="str">
        <f aca="true" t="shared" si="4" ref="C107:D115">C94</f>
        <v>T01</v>
      </c>
      <c r="D107" s="545" t="str">
        <f t="shared" si="4"/>
        <v>Rau-TS</v>
      </c>
      <c r="E107" s="319">
        <f aca="true" t="shared" si="5" ref="E107:K115">E68/SUM($E68:$K68)</f>
        <v>0.8</v>
      </c>
      <c r="F107" s="319">
        <f t="shared" si="5"/>
        <v>0.2</v>
      </c>
      <c r="G107" s="319">
        <f t="shared" si="5"/>
        <v>0</v>
      </c>
      <c r="H107" s="319">
        <f t="shared" si="5"/>
        <v>0</v>
      </c>
      <c r="I107" s="319">
        <f t="shared" si="5"/>
        <v>0</v>
      </c>
      <c r="J107" s="319">
        <f t="shared" si="5"/>
        <v>0</v>
      </c>
      <c r="K107" s="319">
        <f t="shared" si="5"/>
        <v>0</v>
      </c>
      <c r="L107" s="45"/>
      <c r="M107" s="5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.75">
      <c r="A108" s="21"/>
      <c r="B108" s="272"/>
      <c r="C108" s="545" t="str">
        <f t="shared" si="4"/>
        <v>T02</v>
      </c>
      <c r="D108" s="545" t="str">
        <f t="shared" si="4"/>
        <v>LS-TS</v>
      </c>
      <c r="E108" s="319">
        <f t="shared" si="5"/>
        <v>0.9090909090909091</v>
      </c>
      <c r="F108" s="319">
        <f t="shared" si="5"/>
        <v>0.09090909090909091</v>
      </c>
      <c r="G108" s="319">
        <f t="shared" si="5"/>
        <v>0</v>
      </c>
      <c r="H108" s="319">
        <f t="shared" si="5"/>
        <v>0</v>
      </c>
      <c r="I108" s="319">
        <f t="shared" si="5"/>
        <v>0</v>
      </c>
      <c r="J108" s="319">
        <f t="shared" si="5"/>
        <v>0</v>
      </c>
      <c r="K108" s="319">
        <f t="shared" si="5"/>
        <v>0</v>
      </c>
      <c r="L108" s="45"/>
      <c r="M108" s="5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.75">
      <c r="A109" s="21"/>
      <c r="B109" s="272"/>
      <c r="C109" s="545" t="str">
        <f t="shared" si="4"/>
        <v>T03</v>
      </c>
      <c r="D109" s="545" t="str">
        <f t="shared" si="4"/>
        <v>TS-TS</v>
      </c>
      <c r="E109" s="319">
        <f t="shared" si="5"/>
        <v>0</v>
      </c>
      <c r="F109" s="319">
        <f t="shared" si="5"/>
        <v>1</v>
      </c>
      <c r="G109" s="319">
        <f t="shared" si="5"/>
        <v>0</v>
      </c>
      <c r="H109" s="319">
        <f t="shared" si="5"/>
        <v>0</v>
      </c>
      <c r="I109" s="319">
        <f t="shared" si="5"/>
        <v>0</v>
      </c>
      <c r="J109" s="319">
        <f t="shared" si="5"/>
        <v>0</v>
      </c>
      <c r="K109" s="319">
        <f t="shared" si="5"/>
        <v>0</v>
      </c>
      <c r="L109" s="45"/>
      <c r="M109" s="5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.75">
      <c r="A110" s="21"/>
      <c r="B110" s="272"/>
      <c r="C110" s="545" t="str">
        <f t="shared" si="4"/>
        <v>T04</v>
      </c>
      <c r="D110" s="545" t="str">
        <f t="shared" si="4"/>
        <v>TS-ISC</v>
      </c>
      <c r="E110" s="319">
        <f t="shared" si="5"/>
        <v>0</v>
      </c>
      <c r="F110" s="319">
        <f t="shared" si="5"/>
        <v>1</v>
      </c>
      <c r="G110" s="319">
        <f t="shared" si="5"/>
        <v>0</v>
      </c>
      <c r="H110" s="319">
        <f t="shared" si="5"/>
        <v>0</v>
      </c>
      <c r="I110" s="319">
        <f t="shared" si="5"/>
        <v>0</v>
      </c>
      <c r="J110" s="319">
        <f t="shared" si="5"/>
        <v>0</v>
      </c>
      <c r="K110" s="319">
        <f t="shared" si="5"/>
        <v>0</v>
      </c>
      <c r="L110" s="45"/>
      <c r="M110" s="5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.75">
      <c r="A111" s="21"/>
      <c r="B111" s="272"/>
      <c r="C111" s="545" t="str">
        <f t="shared" si="4"/>
        <v>T05</v>
      </c>
      <c r="D111" s="545" t="str">
        <f t="shared" si="4"/>
        <v>ISC-ISC</v>
      </c>
      <c r="E111" s="319">
        <f t="shared" si="5"/>
        <v>0</v>
      </c>
      <c r="F111" s="319">
        <f t="shared" si="5"/>
        <v>1</v>
      </c>
      <c r="G111" s="319">
        <f t="shared" si="5"/>
        <v>0</v>
      </c>
      <c r="H111" s="319">
        <f t="shared" si="5"/>
        <v>0</v>
      </c>
      <c r="I111" s="319">
        <f t="shared" si="5"/>
        <v>0</v>
      </c>
      <c r="J111" s="319">
        <f t="shared" si="5"/>
        <v>0</v>
      </c>
      <c r="K111" s="319">
        <f t="shared" si="5"/>
        <v>0</v>
      </c>
      <c r="L111" s="45"/>
      <c r="M111" s="5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.75">
      <c r="A112" s="21"/>
      <c r="B112" s="272"/>
      <c r="C112" s="545" t="str">
        <f t="shared" si="4"/>
        <v>T06</v>
      </c>
      <c r="D112" s="545" t="str">
        <f t="shared" si="4"/>
        <v>ISC-IN</v>
      </c>
      <c r="E112" s="319">
        <f t="shared" si="5"/>
        <v>0</v>
      </c>
      <c r="F112" s="319">
        <f t="shared" si="5"/>
        <v>1</v>
      </c>
      <c r="G112" s="319">
        <f t="shared" si="5"/>
        <v>0</v>
      </c>
      <c r="H112" s="319">
        <f t="shared" si="5"/>
        <v>0</v>
      </c>
      <c r="I112" s="319">
        <f t="shared" si="5"/>
        <v>0</v>
      </c>
      <c r="J112" s="319">
        <f t="shared" si="5"/>
        <v>0</v>
      </c>
      <c r="K112" s="319">
        <f t="shared" si="5"/>
        <v>0</v>
      </c>
      <c r="L112" s="45"/>
      <c r="M112" s="5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.75">
      <c r="A113" s="21"/>
      <c r="B113" s="272"/>
      <c r="C113" s="545" t="str">
        <f t="shared" si="4"/>
        <v>T07</v>
      </c>
      <c r="D113" s="545" t="str">
        <f t="shared" si="4"/>
        <v>TS-IN</v>
      </c>
      <c r="E113" s="319">
        <f t="shared" si="5"/>
        <v>0</v>
      </c>
      <c r="F113" s="319">
        <f t="shared" si="5"/>
        <v>1</v>
      </c>
      <c r="G113" s="319">
        <f t="shared" si="5"/>
        <v>0</v>
      </c>
      <c r="H113" s="319">
        <f t="shared" si="5"/>
        <v>0</v>
      </c>
      <c r="I113" s="319">
        <f t="shared" si="5"/>
        <v>0</v>
      </c>
      <c r="J113" s="319">
        <f t="shared" si="5"/>
        <v>0</v>
      </c>
      <c r="K113" s="319">
        <f t="shared" si="5"/>
        <v>0</v>
      </c>
      <c r="L113" s="45"/>
      <c r="M113" s="5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75">
      <c r="A114" s="21"/>
      <c r="B114" s="272"/>
      <c r="C114" s="545" t="str">
        <f t="shared" si="4"/>
        <v>T08</v>
      </c>
      <c r="D114" s="545" t="str">
        <f t="shared" si="4"/>
        <v>TS-IGW</v>
      </c>
      <c r="E114" s="319">
        <f t="shared" si="5"/>
        <v>0.970873786407767</v>
      </c>
      <c r="F114" s="319">
        <f t="shared" si="5"/>
        <v>0.02912621359223301</v>
      </c>
      <c r="G114" s="319">
        <f t="shared" si="5"/>
        <v>0</v>
      </c>
      <c r="H114" s="319">
        <f t="shared" si="5"/>
        <v>0</v>
      </c>
      <c r="I114" s="319">
        <f t="shared" si="5"/>
        <v>0</v>
      </c>
      <c r="J114" s="319">
        <f t="shared" si="5"/>
        <v>0</v>
      </c>
      <c r="K114" s="319">
        <f t="shared" si="5"/>
        <v>0</v>
      </c>
      <c r="L114" s="45"/>
      <c r="M114" s="5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.75">
      <c r="A115" s="21"/>
      <c r="B115" s="272"/>
      <c r="C115" s="545" t="str">
        <f t="shared" si="4"/>
        <v>T09</v>
      </c>
      <c r="D115" s="545" t="str">
        <f t="shared" si="4"/>
        <v>LS-LS</v>
      </c>
      <c r="E115" s="319">
        <f t="shared" si="5"/>
        <v>1</v>
      </c>
      <c r="F115" s="319">
        <f t="shared" si="5"/>
        <v>0</v>
      </c>
      <c r="G115" s="319">
        <f t="shared" si="5"/>
        <v>0</v>
      </c>
      <c r="H115" s="319">
        <f t="shared" si="5"/>
        <v>0</v>
      </c>
      <c r="I115" s="319">
        <f t="shared" si="5"/>
        <v>0</v>
      </c>
      <c r="J115" s="319">
        <f t="shared" si="5"/>
        <v>0</v>
      </c>
      <c r="K115" s="319">
        <f t="shared" si="5"/>
        <v>0</v>
      </c>
      <c r="L115" s="45"/>
      <c r="M115" s="5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.75">
      <c r="A116" s="21"/>
      <c r="B116" s="272"/>
      <c r="C116" s="272"/>
      <c r="D116" s="272"/>
      <c r="E116" s="272"/>
      <c r="F116" s="272"/>
      <c r="G116" s="272"/>
      <c r="H116" s="272"/>
      <c r="I116" s="272"/>
      <c r="J116" s="45"/>
      <c r="K116" s="45"/>
      <c r="L116" s="45"/>
      <c r="M116" s="5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.75">
      <c r="A117" s="21"/>
      <c r="B117" s="272"/>
      <c r="C117" s="272"/>
      <c r="D117" s="272"/>
      <c r="E117" s="272"/>
      <c r="F117" s="272"/>
      <c r="G117" s="272"/>
      <c r="H117" s="272"/>
      <c r="I117" s="272"/>
      <c r="J117" s="45"/>
      <c r="K117" s="45"/>
      <c r="L117" s="45"/>
      <c r="M117" s="5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.75">
      <c r="A118" s="21"/>
      <c r="B118" s="272"/>
      <c r="C118" s="546"/>
      <c r="D118" s="512" t="s">
        <v>705</v>
      </c>
      <c r="E118" s="544" t="s">
        <v>117</v>
      </c>
      <c r="F118" s="272"/>
      <c r="G118" s="272"/>
      <c r="H118" s="272"/>
      <c r="I118" s="272"/>
      <c r="J118" s="45"/>
      <c r="K118" s="45"/>
      <c r="L118" s="45"/>
      <c r="M118" s="5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.75">
      <c r="A119" s="21"/>
      <c r="B119" s="272"/>
      <c r="C119" s="545" t="str">
        <f aca="true" t="shared" si="6" ref="C119:D127">C107</f>
        <v>T01</v>
      </c>
      <c r="D119" s="545" t="str">
        <f t="shared" si="6"/>
        <v>Rau-TS</v>
      </c>
      <c r="E119" s="319">
        <f aca="true" t="shared" si="7" ref="E119:E127">SUMPRODUCT(E107:K107,E94:K94,E$92:K$92)/SUMPRODUCT(E107:K107,E$92:K$92)</f>
        <v>0.8125</v>
      </c>
      <c r="F119" s="272"/>
      <c r="G119" s="272"/>
      <c r="H119" s="272"/>
      <c r="I119" s="272"/>
      <c r="J119" s="45"/>
      <c r="K119" s="45"/>
      <c r="L119" s="45"/>
      <c r="M119" s="5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.75">
      <c r="A120" s="21"/>
      <c r="B120" s="272"/>
      <c r="C120" s="545" t="str">
        <f t="shared" si="6"/>
        <v>T02</v>
      </c>
      <c r="D120" s="545" t="str">
        <f t="shared" si="6"/>
        <v>LS-TS</v>
      </c>
      <c r="E120" s="319">
        <f t="shared" si="7"/>
        <v>0.8928571428571428</v>
      </c>
      <c r="F120" s="272"/>
      <c r="G120" s="272"/>
      <c r="H120" s="272"/>
      <c r="I120" s="272"/>
      <c r="J120" s="45"/>
      <c r="K120" s="45"/>
      <c r="L120" s="45"/>
      <c r="M120" s="5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.75">
      <c r="A121" s="21"/>
      <c r="B121" s="272"/>
      <c r="C121" s="545" t="str">
        <f t="shared" si="6"/>
        <v>T03</v>
      </c>
      <c r="D121" s="545" t="str">
        <f t="shared" si="6"/>
        <v>TS-TS</v>
      </c>
      <c r="E121" s="319">
        <f t="shared" si="7"/>
        <v>0.625</v>
      </c>
      <c r="F121" s="272"/>
      <c r="G121" s="272"/>
      <c r="H121" s="272"/>
      <c r="I121" s="272"/>
      <c r="J121" s="45"/>
      <c r="K121" s="45"/>
      <c r="L121" s="45"/>
      <c r="M121" s="5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.75">
      <c r="A122" s="21"/>
      <c r="B122" s="272"/>
      <c r="C122" s="545" t="str">
        <f t="shared" si="6"/>
        <v>T04</v>
      </c>
      <c r="D122" s="545" t="str">
        <f t="shared" si="6"/>
        <v>TS-ISC</v>
      </c>
      <c r="E122" s="319">
        <f t="shared" si="7"/>
        <v>0.625</v>
      </c>
      <c r="F122" s="272"/>
      <c r="G122" s="272"/>
      <c r="H122" s="272"/>
      <c r="I122" s="272"/>
      <c r="J122" s="45"/>
      <c r="K122" s="45"/>
      <c r="L122" s="45"/>
      <c r="M122" s="5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.75">
      <c r="A123" s="21"/>
      <c r="B123" s="272"/>
      <c r="C123" s="545" t="str">
        <f t="shared" si="6"/>
        <v>T05</v>
      </c>
      <c r="D123" s="545" t="str">
        <f t="shared" si="6"/>
        <v>ISC-ISC</v>
      </c>
      <c r="E123" s="319">
        <f t="shared" si="7"/>
        <v>0.625</v>
      </c>
      <c r="F123" s="272"/>
      <c r="G123" s="272"/>
      <c r="H123" s="272"/>
      <c r="I123" s="272"/>
      <c r="J123" s="45"/>
      <c r="K123" s="45"/>
      <c r="L123" s="45"/>
      <c r="M123" s="5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.75">
      <c r="A124" s="21"/>
      <c r="B124" s="272"/>
      <c r="C124" s="545" t="str">
        <f t="shared" si="6"/>
        <v>T06</v>
      </c>
      <c r="D124" s="545" t="str">
        <f t="shared" si="6"/>
        <v>ISC-IN</v>
      </c>
      <c r="E124" s="319">
        <f t="shared" si="7"/>
        <v>0.625</v>
      </c>
      <c r="F124" s="272"/>
      <c r="G124" s="272"/>
      <c r="H124" s="272"/>
      <c r="I124" s="272"/>
      <c r="J124" s="45"/>
      <c r="K124" s="45"/>
      <c r="L124" s="45"/>
      <c r="M124" s="5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.75">
      <c r="A125" s="21"/>
      <c r="B125" s="272"/>
      <c r="C125" s="545" t="str">
        <f t="shared" si="6"/>
        <v>T07</v>
      </c>
      <c r="D125" s="545" t="str">
        <f t="shared" si="6"/>
        <v>TS-IN</v>
      </c>
      <c r="E125" s="319">
        <f t="shared" si="7"/>
        <v>0.625</v>
      </c>
      <c r="F125" s="272"/>
      <c r="G125" s="272"/>
      <c r="H125" s="272"/>
      <c r="I125" s="272"/>
      <c r="J125" s="45"/>
      <c r="K125" s="45"/>
      <c r="L125" s="45"/>
      <c r="M125" s="5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.75">
      <c r="A126" s="21"/>
      <c r="B126" s="272"/>
      <c r="C126" s="545" t="str">
        <f t="shared" si="6"/>
        <v>T08</v>
      </c>
      <c r="D126" s="545" t="str">
        <f t="shared" si="6"/>
        <v>TS-IGW</v>
      </c>
      <c r="E126" s="319">
        <f t="shared" si="7"/>
        <v>0.9598214285714286</v>
      </c>
      <c r="F126" s="272"/>
      <c r="G126" s="272"/>
      <c r="H126" s="272"/>
      <c r="I126" s="272"/>
      <c r="J126" s="45"/>
      <c r="K126" s="45"/>
      <c r="L126" s="45"/>
      <c r="M126" s="5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.75">
      <c r="A127" s="21"/>
      <c r="B127" s="272"/>
      <c r="C127" s="545" t="str">
        <f t="shared" si="6"/>
        <v>T09</v>
      </c>
      <c r="D127" s="545" t="str">
        <f t="shared" si="6"/>
        <v>LS-LS</v>
      </c>
      <c r="E127" s="319">
        <f t="shared" si="7"/>
        <v>1</v>
      </c>
      <c r="F127" s="272"/>
      <c r="G127" s="272"/>
      <c r="H127" s="272"/>
      <c r="I127" s="272"/>
      <c r="J127" s="45"/>
      <c r="K127" s="45"/>
      <c r="L127" s="45"/>
      <c r="M127" s="5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.75">
      <c r="A128" s="21"/>
      <c r="B128" s="272"/>
      <c r="C128" s="272"/>
      <c r="D128" s="272"/>
      <c r="E128" s="272"/>
      <c r="F128" s="272"/>
      <c r="G128" s="272"/>
      <c r="H128" s="272"/>
      <c r="I128" s="272"/>
      <c r="J128" s="45"/>
      <c r="K128" s="45"/>
      <c r="L128" s="45"/>
      <c r="M128" s="5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6" s="110" customFormat="1" ht="12.75">
      <c r="A129" s="21"/>
      <c r="B129" s="271"/>
      <c r="C129" s="506" t="s">
        <v>109</v>
      </c>
      <c r="F129" s="419"/>
    </row>
    <row r="130" spans="1:28" ht="15.75">
      <c r="A130" s="21"/>
      <c r="B130" s="272"/>
      <c r="C130" s="29"/>
      <c r="D130" s="45"/>
      <c r="E130" s="549" t="s">
        <v>270</v>
      </c>
      <c r="F130" s="50"/>
      <c r="G130" s="50"/>
      <c r="H130" s="50"/>
      <c r="I130" s="50"/>
      <c r="J130" s="110"/>
      <c r="K130" s="50"/>
      <c r="L130" s="50"/>
      <c r="M130" s="5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1" ht="27.75" customHeight="1">
      <c r="A131" s="21"/>
      <c r="B131" s="272"/>
      <c r="C131" s="90" t="s">
        <v>729</v>
      </c>
      <c r="D131" s="495"/>
      <c r="E131" s="684" t="s">
        <v>120</v>
      </c>
      <c r="F131" s="657"/>
      <c r="G131" s="683" t="s">
        <v>119</v>
      </c>
      <c r="H131" s="648" t="s">
        <v>722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0" ht="13.5" customHeight="1">
      <c r="A132" s="21"/>
      <c r="B132" s="272"/>
      <c r="C132" s="332"/>
      <c r="D132" s="332"/>
      <c r="E132" s="544" t="s">
        <v>953</v>
      </c>
      <c r="F132" s="544" t="s">
        <v>121</v>
      </c>
      <c r="G132" s="649"/>
      <c r="H132" s="649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5.75">
      <c r="A133" s="21"/>
      <c r="B133" s="272"/>
      <c r="C133" s="304" t="str">
        <f>'C. Masterfiles'!C69</f>
        <v>T01</v>
      </c>
      <c r="D133" s="304" t="str">
        <f>'C. Masterfiles'!D69</f>
        <v>Rau-TS</v>
      </c>
      <c r="E133" s="494">
        <v>2000</v>
      </c>
      <c r="F133" s="494">
        <v>2000</v>
      </c>
      <c r="G133" s="499">
        <f aca="true" t="shared" si="8" ref="G133:G141">(E133+F133)/L68</f>
        <v>8</v>
      </c>
      <c r="H133" s="494">
        <v>9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5.75">
      <c r="A134" s="21"/>
      <c r="B134" s="272"/>
      <c r="C134" s="304" t="str">
        <f>'C. Masterfiles'!C70</f>
        <v>T02</v>
      </c>
      <c r="D134" s="304" t="str">
        <f>'C. Masterfiles'!D70</f>
        <v>LS-TS</v>
      </c>
      <c r="E134" s="494">
        <v>2000</v>
      </c>
      <c r="F134" s="494">
        <v>2000</v>
      </c>
      <c r="G134" s="499">
        <f t="shared" si="8"/>
        <v>7.2727272727272725</v>
      </c>
      <c r="H134" s="494">
        <v>9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5.75">
      <c r="A135" s="21"/>
      <c r="B135" s="272"/>
      <c r="C135" s="304" t="str">
        <f>'C. Masterfiles'!C71</f>
        <v>T03</v>
      </c>
      <c r="D135" s="304" t="str">
        <f>'C. Masterfiles'!D71</f>
        <v>TS-TS</v>
      </c>
      <c r="E135" s="494">
        <v>500</v>
      </c>
      <c r="F135" s="494">
        <v>0</v>
      </c>
      <c r="G135" s="499">
        <f t="shared" si="8"/>
        <v>250</v>
      </c>
      <c r="H135" s="494">
        <v>9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5.75">
      <c r="A136" s="21"/>
      <c r="B136" s="272"/>
      <c r="C136" s="304" t="str">
        <f>'C. Masterfiles'!C72</f>
        <v>T04</v>
      </c>
      <c r="D136" s="304" t="str">
        <f>'C. Masterfiles'!D72</f>
        <v>TS-ISC</v>
      </c>
      <c r="E136" s="494">
        <v>500</v>
      </c>
      <c r="F136" s="494">
        <v>0</v>
      </c>
      <c r="G136" s="499">
        <f t="shared" si="8"/>
        <v>250</v>
      </c>
      <c r="H136" s="494">
        <v>9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5.75">
      <c r="A137" s="21"/>
      <c r="B137" s="272"/>
      <c r="C137" s="304" t="str">
        <f>'C. Masterfiles'!C73</f>
        <v>T05</v>
      </c>
      <c r="D137" s="304" t="str">
        <f>'C. Masterfiles'!D73</f>
        <v>ISC-ISC</v>
      </c>
      <c r="E137" s="494">
        <v>100</v>
      </c>
      <c r="F137" s="494">
        <v>0</v>
      </c>
      <c r="G137" s="499">
        <f t="shared" si="8"/>
        <v>50</v>
      </c>
      <c r="H137" s="494">
        <v>9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5.75">
      <c r="A138" s="21"/>
      <c r="B138" s="272"/>
      <c r="C138" s="304" t="str">
        <f>'C. Masterfiles'!C74</f>
        <v>T06</v>
      </c>
      <c r="D138" s="304" t="str">
        <f>'C. Masterfiles'!D74</f>
        <v>ISC-IN</v>
      </c>
      <c r="E138" s="494">
        <v>1</v>
      </c>
      <c r="F138" s="494">
        <v>0</v>
      </c>
      <c r="G138" s="499">
        <f t="shared" si="8"/>
        <v>0.5</v>
      </c>
      <c r="H138" s="494">
        <v>9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5.75">
      <c r="A139" s="21"/>
      <c r="B139" s="272"/>
      <c r="C139" s="304" t="str">
        <f>'C. Masterfiles'!C75</f>
        <v>T07</v>
      </c>
      <c r="D139" s="304" t="str">
        <f>'C. Masterfiles'!D75</f>
        <v>TS-IN</v>
      </c>
      <c r="E139" s="494">
        <v>1</v>
      </c>
      <c r="F139" s="494">
        <v>0</v>
      </c>
      <c r="G139" s="499">
        <f t="shared" si="8"/>
        <v>0.3333333333333333</v>
      </c>
      <c r="H139" s="494">
        <v>9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5.75">
      <c r="A140" s="21"/>
      <c r="B140" s="272"/>
      <c r="C140" s="304" t="str">
        <f>'C. Masterfiles'!C76</f>
        <v>T08</v>
      </c>
      <c r="D140" s="304" t="str">
        <f>'C. Masterfiles'!D76</f>
        <v>TS-IGW</v>
      </c>
      <c r="E140" s="494">
        <v>1</v>
      </c>
      <c r="F140" s="494">
        <v>0</v>
      </c>
      <c r="G140" s="499">
        <f t="shared" si="8"/>
        <v>0.0048543689320388345</v>
      </c>
      <c r="H140" s="494">
        <v>9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5.75">
      <c r="A141" s="21"/>
      <c r="B141" s="272"/>
      <c r="C141" s="304" t="str">
        <f>'C. Masterfiles'!C77</f>
        <v>T09</v>
      </c>
      <c r="D141" s="304" t="str">
        <f>'C. Masterfiles'!D77</f>
        <v>LS-LS</v>
      </c>
      <c r="E141" s="494">
        <v>1</v>
      </c>
      <c r="F141" s="494">
        <v>0</v>
      </c>
      <c r="G141" s="499">
        <f t="shared" si="8"/>
        <v>0.02</v>
      </c>
      <c r="H141" s="494">
        <v>9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8" ht="15.75">
      <c r="A142" s="21"/>
      <c r="B142" s="272"/>
      <c r="C142" s="29"/>
      <c r="D142" s="45"/>
      <c r="E142" s="50"/>
      <c r="F142" s="50"/>
      <c r="G142" s="50"/>
      <c r="H142" s="50"/>
      <c r="I142" s="50"/>
      <c r="J142" s="50"/>
      <c r="K142" s="50"/>
      <c r="L142" s="50"/>
      <c r="M142" s="5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.75">
      <c r="A143" s="21"/>
      <c r="B143" s="272"/>
      <c r="C143" s="507" t="s">
        <v>98</v>
      </c>
      <c r="D143" s="497"/>
      <c r="E143" s="497"/>
      <c r="F143" s="497"/>
      <c r="G143" s="498"/>
      <c r="H143" s="498"/>
      <c r="I143" s="45"/>
      <c r="J143" s="50"/>
      <c r="K143" s="50"/>
      <c r="L143" s="45"/>
      <c r="M143" s="5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.75">
      <c r="A144" s="21"/>
      <c r="B144" s="272"/>
      <c r="C144" s="105"/>
      <c r="D144" s="497"/>
      <c r="E144" s="497"/>
      <c r="F144" s="497"/>
      <c r="G144" s="498"/>
      <c r="H144" s="498"/>
      <c r="I144" s="45"/>
      <c r="J144" s="50"/>
      <c r="K144" s="50"/>
      <c r="L144" s="45"/>
      <c r="M144" s="5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.75">
      <c r="A145" s="21"/>
      <c r="B145" s="272"/>
      <c r="C145" s="90"/>
      <c r="D145" s="90"/>
      <c r="E145" s="92" t="s">
        <v>953</v>
      </c>
      <c r="F145" s="92" t="s">
        <v>954</v>
      </c>
      <c r="G145" s="498"/>
      <c r="H145" s="498"/>
      <c r="I145" s="50"/>
      <c r="J145" s="50"/>
      <c r="K145" s="45"/>
      <c r="L145" s="45"/>
      <c r="M145" s="5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.75">
      <c r="A146" s="21"/>
      <c r="B146" s="272"/>
      <c r="C146" s="304" t="str">
        <f aca="true" t="shared" si="9" ref="C146:D154">C133</f>
        <v>T01</v>
      </c>
      <c r="D146" s="304" t="str">
        <f t="shared" si="9"/>
        <v>Rau-TS</v>
      </c>
      <c r="E146" s="319">
        <f>E133/SUM(E133:F133)</f>
        <v>0.5</v>
      </c>
      <c r="F146" s="319">
        <f aca="true" t="shared" si="10" ref="F146:F154">1-E146</f>
        <v>0.5</v>
      </c>
      <c r="G146" s="498"/>
      <c r="H146" s="498"/>
      <c r="I146" s="50"/>
      <c r="J146" s="50"/>
      <c r="K146" s="45"/>
      <c r="L146" s="45"/>
      <c r="M146" s="5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.75">
      <c r="A147" s="21"/>
      <c r="B147" s="272"/>
      <c r="C147" s="304" t="str">
        <f t="shared" si="9"/>
        <v>T02</v>
      </c>
      <c r="D147" s="304" t="str">
        <f t="shared" si="9"/>
        <v>LS-TS</v>
      </c>
      <c r="E147" s="319">
        <f>E134/SUM(E134:F134)</f>
        <v>0.5</v>
      </c>
      <c r="F147" s="319">
        <f t="shared" si="10"/>
        <v>0.5</v>
      </c>
      <c r="G147" s="498"/>
      <c r="H147" s="498"/>
      <c r="I147" s="50"/>
      <c r="J147" s="50"/>
      <c r="K147" s="45"/>
      <c r="L147" s="45"/>
      <c r="M147" s="5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.75">
      <c r="A148" s="21"/>
      <c r="B148" s="272"/>
      <c r="C148" s="304" t="str">
        <f t="shared" si="9"/>
        <v>T03</v>
      </c>
      <c r="D148" s="304" t="str">
        <f t="shared" si="9"/>
        <v>TS-TS</v>
      </c>
      <c r="E148" s="319">
        <f>E135/SUM(E135:F135)</f>
        <v>1</v>
      </c>
      <c r="F148" s="319">
        <f t="shared" si="10"/>
        <v>0</v>
      </c>
      <c r="G148" s="498"/>
      <c r="H148" s="498"/>
      <c r="I148" s="50"/>
      <c r="J148" s="50"/>
      <c r="K148" s="45"/>
      <c r="L148" s="45"/>
      <c r="M148" s="5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.75">
      <c r="A149" s="21"/>
      <c r="B149" s="272"/>
      <c r="C149" s="304" t="str">
        <f t="shared" si="9"/>
        <v>T04</v>
      </c>
      <c r="D149" s="304" t="str">
        <f t="shared" si="9"/>
        <v>TS-ISC</v>
      </c>
      <c r="E149" s="319">
        <f>E136/SUM(E136:F136)</f>
        <v>1</v>
      </c>
      <c r="F149" s="319">
        <f t="shared" si="10"/>
        <v>0</v>
      </c>
      <c r="G149" s="498"/>
      <c r="H149" s="498"/>
      <c r="I149" s="50"/>
      <c r="J149" s="50"/>
      <c r="K149" s="45"/>
      <c r="L149" s="45"/>
      <c r="M149" s="5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.75">
      <c r="A150" s="21"/>
      <c r="B150" s="272"/>
      <c r="C150" s="304" t="str">
        <f t="shared" si="9"/>
        <v>T05</v>
      </c>
      <c r="D150" s="304" t="str">
        <f t="shared" si="9"/>
        <v>ISC-ISC</v>
      </c>
      <c r="E150" s="319">
        <f>E137/SUM(E137:F137)</f>
        <v>1</v>
      </c>
      <c r="F150" s="319">
        <f t="shared" si="10"/>
        <v>0</v>
      </c>
      <c r="G150" s="498"/>
      <c r="H150" s="498"/>
      <c r="I150" s="50"/>
      <c r="J150" s="50"/>
      <c r="K150" s="45"/>
      <c r="L150" s="45"/>
      <c r="M150" s="5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.75">
      <c r="A151" s="21"/>
      <c r="B151" s="272"/>
      <c r="C151" s="304" t="str">
        <f t="shared" si="9"/>
        <v>T06</v>
      </c>
      <c r="D151" s="304" t="str">
        <f t="shared" si="9"/>
        <v>ISC-IN</v>
      </c>
      <c r="E151" s="319">
        <f>E146</f>
        <v>0.5</v>
      </c>
      <c r="F151" s="319">
        <f t="shared" si="10"/>
        <v>0.5</v>
      </c>
      <c r="G151" s="498"/>
      <c r="H151" s="498"/>
      <c r="I151" s="50"/>
      <c r="J151" s="50"/>
      <c r="K151" s="45"/>
      <c r="L151" s="45"/>
      <c r="M151" s="5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.75">
      <c r="A152" s="21"/>
      <c r="B152" s="272"/>
      <c r="C152" s="304" t="str">
        <f t="shared" si="9"/>
        <v>T07</v>
      </c>
      <c r="D152" s="304" t="str">
        <f t="shared" si="9"/>
        <v>TS-IN</v>
      </c>
      <c r="E152" s="319">
        <f>E151</f>
        <v>0.5</v>
      </c>
      <c r="F152" s="319">
        <f t="shared" si="10"/>
        <v>0.5</v>
      </c>
      <c r="G152" s="498"/>
      <c r="H152" s="498"/>
      <c r="I152" s="50"/>
      <c r="J152" s="50"/>
      <c r="K152" s="45"/>
      <c r="L152" s="45"/>
      <c r="M152" s="5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.75">
      <c r="A153" s="21"/>
      <c r="B153" s="272"/>
      <c r="C153" s="304" t="str">
        <f t="shared" si="9"/>
        <v>T08</v>
      </c>
      <c r="D153" s="304" t="str">
        <f t="shared" si="9"/>
        <v>TS-IGW</v>
      </c>
      <c r="E153" s="319">
        <f>E152</f>
        <v>0.5</v>
      </c>
      <c r="F153" s="319">
        <f t="shared" si="10"/>
        <v>0.5</v>
      </c>
      <c r="G153" s="498"/>
      <c r="H153" s="45"/>
      <c r="I153" s="45"/>
      <c r="J153" s="50"/>
      <c r="K153" s="50"/>
      <c r="L153" s="45"/>
      <c r="M153" s="5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.75">
      <c r="A154" s="21"/>
      <c r="B154" s="272"/>
      <c r="C154" s="304" t="str">
        <f t="shared" si="9"/>
        <v>T09</v>
      </c>
      <c r="D154" s="304" t="str">
        <f t="shared" si="9"/>
        <v>LS-LS</v>
      </c>
      <c r="E154" s="319">
        <f>E153</f>
        <v>0.5</v>
      </c>
      <c r="F154" s="319">
        <f t="shared" si="10"/>
        <v>0.5</v>
      </c>
      <c r="G154" s="498"/>
      <c r="H154" s="272"/>
      <c r="I154" s="272"/>
      <c r="J154" s="45"/>
      <c r="K154" s="45"/>
      <c r="L154" s="45"/>
      <c r="M154" s="5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.75">
      <c r="A155" s="21"/>
      <c r="B155" s="272"/>
      <c r="C155" s="350"/>
      <c r="D155" s="350"/>
      <c r="E155" s="350"/>
      <c r="F155" s="350"/>
      <c r="G155" s="498"/>
      <c r="H155" s="272"/>
      <c r="I155" s="272"/>
      <c r="J155" s="45"/>
      <c r="K155" s="45"/>
      <c r="L155" s="45"/>
      <c r="M155" s="5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.75">
      <c r="A156" s="21"/>
      <c r="B156" s="272"/>
      <c r="C156" s="29"/>
      <c r="D156" s="45"/>
      <c r="E156" s="50"/>
      <c r="F156" s="50"/>
      <c r="G156" s="50"/>
      <c r="H156" s="50"/>
      <c r="I156" s="50"/>
      <c r="J156" s="45"/>
      <c r="K156" s="45"/>
      <c r="L156" s="50"/>
      <c r="M156" s="5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.75">
      <c r="A157" s="21"/>
      <c r="B157" s="272">
        <f>B63+0.01</f>
        <v>3.039999999999999</v>
      </c>
      <c r="C157" s="29" t="s">
        <v>956</v>
      </c>
      <c r="D157" s="45"/>
      <c r="E157" s="50"/>
      <c r="F157" s="50"/>
      <c r="G157" s="50"/>
      <c r="H157" s="50"/>
      <c r="I157" s="50"/>
      <c r="J157" s="50"/>
      <c r="K157" s="50"/>
      <c r="L157" s="50"/>
      <c r="M157" s="5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.75">
      <c r="A158" s="21"/>
      <c r="B158" s="272"/>
      <c r="C158" s="29"/>
      <c r="D158" s="45"/>
      <c r="E158" s="50"/>
      <c r="F158" s="50"/>
      <c r="G158" s="50"/>
      <c r="H158" s="50"/>
      <c r="I158" s="50"/>
      <c r="J158" s="50"/>
      <c r="K158" s="50"/>
      <c r="L158" s="50"/>
      <c r="M158" s="5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.75">
      <c r="A159" s="21"/>
      <c r="B159" s="272"/>
      <c r="C159" s="29" t="s">
        <v>96</v>
      </c>
      <c r="D159" s="45"/>
      <c r="E159" s="549" t="s">
        <v>270</v>
      </c>
      <c r="F159" s="50"/>
      <c r="G159" s="50"/>
      <c r="H159" s="50"/>
      <c r="I159" s="50"/>
      <c r="J159" s="50"/>
      <c r="K159" s="50"/>
      <c r="L159" s="50"/>
      <c r="M159" s="5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1" ht="15.75">
      <c r="A160" s="21"/>
      <c r="B160" s="272"/>
      <c r="C160" s="338" t="s">
        <v>634</v>
      </c>
      <c r="D160" s="368" t="s">
        <v>686</v>
      </c>
      <c r="E160" s="366" t="str">
        <f aca="true" t="shared" si="11" ref="E160:N160">E192</f>
        <v>RAU</v>
      </c>
      <c r="F160" s="366" t="str">
        <f t="shared" si="11"/>
        <v>LS</v>
      </c>
      <c r="G160" s="366" t="str">
        <f t="shared" si="11"/>
        <v>TS</v>
      </c>
      <c r="H160" s="366" t="str">
        <f t="shared" si="11"/>
        <v>ISC</v>
      </c>
      <c r="I160" s="366" t="str">
        <f t="shared" si="11"/>
        <v>IGW</v>
      </c>
      <c r="J160" s="366" t="str">
        <f t="shared" si="11"/>
        <v>IN</v>
      </c>
      <c r="K160" s="366" t="str">
        <f t="shared" si="11"/>
        <v>RBIL</v>
      </c>
      <c r="L160" s="366" t="str">
        <f t="shared" si="11"/>
        <v>IBIL</v>
      </c>
      <c r="M160" s="366" t="str">
        <f t="shared" si="11"/>
        <v>NMS</v>
      </c>
      <c r="N160" s="366" t="str">
        <f t="shared" si="11"/>
        <v>OSS</v>
      </c>
      <c r="O160" s="8"/>
      <c r="P160" s="8"/>
      <c r="Q160" s="8"/>
      <c r="R160" s="8"/>
      <c r="S160" s="8"/>
      <c r="T160" s="8"/>
      <c r="U160" s="8"/>
    </row>
    <row r="161" spans="1:21" ht="15.75">
      <c r="A161" s="21"/>
      <c r="B161" s="272"/>
      <c r="C161" s="291" t="str">
        <f>'C. Masterfiles'!C84</f>
        <v>S01</v>
      </c>
      <c r="D161" s="291" t="str">
        <f>'C. Masterfiles'!D84</f>
        <v>On-net local calls</v>
      </c>
      <c r="E161" s="372">
        <v>1</v>
      </c>
      <c r="F161" s="372">
        <v>1</v>
      </c>
      <c r="G161" s="372">
        <v>1.5</v>
      </c>
      <c r="H161" s="372">
        <v>0.2</v>
      </c>
      <c r="I161" s="372"/>
      <c r="J161" s="372"/>
      <c r="K161" s="372">
        <v>1</v>
      </c>
      <c r="L161" s="372"/>
      <c r="M161" s="372">
        <v>1</v>
      </c>
      <c r="N161" s="372">
        <v>1</v>
      </c>
      <c r="O161" s="8"/>
      <c r="P161" s="8"/>
      <c r="Q161" s="8"/>
      <c r="R161" s="8"/>
      <c r="S161" s="8"/>
      <c r="T161" s="8"/>
      <c r="U161" s="8"/>
    </row>
    <row r="162" spans="1:21" ht="15.75">
      <c r="A162" s="21"/>
      <c r="B162" s="272"/>
      <c r="C162" s="291" t="str">
        <f>'C. Masterfiles'!C85</f>
        <v>S02</v>
      </c>
      <c r="D162" s="291" t="str">
        <f>'C. Masterfiles'!D85</f>
        <v>On-net national calls</v>
      </c>
      <c r="E162" s="372">
        <v>1</v>
      </c>
      <c r="F162" s="372">
        <v>1</v>
      </c>
      <c r="G162" s="372">
        <v>2</v>
      </c>
      <c r="H162" s="372">
        <v>0.6</v>
      </c>
      <c r="I162" s="372"/>
      <c r="J162" s="372"/>
      <c r="K162" s="372">
        <v>1</v>
      </c>
      <c r="L162" s="372"/>
      <c r="M162" s="372">
        <v>1</v>
      </c>
      <c r="N162" s="372">
        <v>1</v>
      </c>
      <c r="O162" s="8"/>
      <c r="P162" s="8"/>
      <c r="Q162" s="8"/>
      <c r="R162" s="8"/>
      <c r="S162" s="8"/>
      <c r="T162" s="8"/>
      <c r="U162" s="8"/>
    </row>
    <row r="163" spans="1:21" ht="15.75">
      <c r="A163" s="21"/>
      <c r="B163" s="272"/>
      <c r="C163" s="291" t="str">
        <f>'C. Masterfiles'!C86</f>
        <v>S03</v>
      </c>
      <c r="D163" s="291" t="str">
        <f>'C. Masterfiles'!D86</f>
        <v>Originating calls (local)</v>
      </c>
      <c r="E163" s="372">
        <v>0.5</v>
      </c>
      <c r="F163" s="372">
        <v>0.5</v>
      </c>
      <c r="G163" s="372">
        <v>1</v>
      </c>
      <c r="H163" s="372"/>
      <c r="I163" s="372">
        <v>1</v>
      </c>
      <c r="J163" s="372"/>
      <c r="K163" s="372">
        <v>1</v>
      </c>
      <c r="L163" s="372"/>
      <c r="M163" s="372">
        <v>1</v>
      </c>
      <c r="N163" s="372">
        <v>1</v>
      </c>
      <c r="O163" s="8"/>
      <c r="P163" s="8"/>
      <c r="Q163" s="8"/>
      <c r="R163" s="8"/>
      <c r="S163" s="8"/>
      <c r="T163" s="8"/>
      <c r="U163" s="8"/>
    </row>
    <row r="164" spans="1:21" ht="15.75">
      <c r="A164" s="21"/>
      <c r="B164" s="272"/>
      <c r="C164" s="291" t="str">
        <f>'C. Masterfiles'!C87</f>
        <v>S04</v>
      </c>
      <c r="D164" s="291" t="str">
        <f>'C. Masterfiles'!D87</f>
        <v>Originating calls (national) </v>
      </c>
      <c r="E164" s="372">
        <v>0.5</v>
      </c>
      <c r="F164" s="372">
        <v>0.5</v>
      </c>
      <c r="G164" s="372">
        <v>1</v>
      </c>
      <c r="H164" s="372">
        <v>1</v>
      </c>
      <c r="I164" s="372">
        <v>1</v>
      </c>
      <c r="J164" s="372"/>
      <c r="K164" s="372">
        <v>1</v>
      </c>
      <c r="L164" s="372"/>
      <c r="M164" s="372">
        <v>1</v>
      </c>
      <c r="N164" s="372">
        <v>1</v>
      </c>
      <c r="O164" s="8"/>
      <c r="P164" s="8"/>
      <c r="Q164" s="8"/>
      <c r="R164" s="8"/>
      <c r="S164" s="8"/>
      <c r="T164" s="8"/>
      <c r="U164" s="8"/>
    </row>
    <row r="165" spans="1:21" ht="15.75">
      <c r="A165" s="21"/>
      <c r="B165" s="272"/>
      <c r="C165" s="291" t="str">
        <f>'C. Masterfiles'!C88</f>
        <v>S05</v>
      </c>
      <c r="D165" s="291" t="str">
        <f>'C. Masterfiles'!D88</f>
        <v>Originating calls (international)</v>
      </c>
      <c r="E165" s="372">
        <v>0.5</v>
      </c>
      <c r="F165" s="372">
        <v>0.5</v>
      </c>
      <c r="G165" s="372">
        <v>1</v>
      </c>
      <c r="H165" s="372">
        <v>1</v>
      </c>
      <c r="I165" s="372"/>
      <c r="J165" s="372"/>
      <c r="K165" s="372">
        <v>1</v>
      </c>
      <c r="L165" s="372"/>
      <c r="M165" s="372">
        <v>1</v>
      </c>
      <c r="N165" s="372">
        <v>1</v>
      </c>
      <c r="O165" s="8"/>
      <c r="P165" s="8"/>
      <c r="Q165" s="8"/>
      <c r="R165" s="8"/>
      <c r="S165" s="8"/>
      <c r="T165" s="8"/>
      <c r="U165" s="8"/>
    </row>
    <row r="166" spans="1:21" ht="15.75">
      <c r="A166" s="21"/>
      <c r="B166" s="272"/>
      <c r="C166" s="291" t="str">
        <f>'C. Masterfiles'!C89</f>
        <v>S06</v>
      </c>
      <c r="D166" s="291" t="str">
        <f>'C. Masterfiles'!D89</f>
        <v>Terminating calls (local)</v>
      </c>
      <c r="E166" s="372">
        <v>0.5</v>
      </c>
      <c r="F166" s="372">
        <v>0.5</v>
      </c>
      <c r="G166" s="372">
        <v>1</v>
      </c>
      <c r="H166" s="372"/>
      <c r="I166" s="372">
        <v>1</v>
      </c>
      <c r="J166" s="372"/>
      <c r="K166" s="372"/>
      <c r="L166" s="372">
        <v>1</v>
      </c>
      <c r="M166" s="372">
        <v>1</v>
      </c>
      <c r="N166" s="372">
        <v>1</v>
      </c>
      <c r="O166" s="8"/>
      <c r="P166" s="8"/>
      <c r="Q166" s="8"/>
      <c r="R166" s="8"/>
      <c r="S166" s="8"/>
      <c r="T166" s="8"/>
      <c r="U166" s="8"/>
    </row>
    <row r="167" spans="1:21" ht="15.75">
      <c r="A167" s="21"/>
      <c r="B167" s="272"/>
      <c r="C167" s="291" t="str">
        <f>'C. Masterfiles'!C90</f>
        <v>S07</v>
      </c>
      <c r="D167" s="291" t="str">
        <f>'C. Masterfiles'!D90</f>
        <v>Terminating calls (national) </v>
      </c>
      <c r="E167" s="372">
        <v>0.5</v>
      </c>
      <c r="F167" s="372">
        <v>0.5</v>
      </c>
      <c r="G167" s="372">
        <v>1</v>
      </c>
      <c r="H167" s="372">
        <v>1</v>
      </c>
      <c r="I167" s="372">
        <v>1</v>
      </c>
      <c r="J167" s="372"/>
      <c r="K167" s="372"/>
      <c r="L167" s="372">
        <v>1</v>
      </c>
      <c r="M167" s="372">
        <v>1</v>
      </c>
      <c r="N167" s="372">
        <v>1</v>
      </c>
      <c r="O167" s="8"/>
      <c r="P167" s="8"/>
      <c r="Q167" s="8"/>
      <c r="R167" s="8"/>
      <c r="S167" s="8"/>
      <c r="T167" s="8"/>
      <c r="U167" s="8"/>
    </row>
    <row r="168" spans="1:21" ht="15.75">
      <c r="A168" s="21"/>
      <c r="B168" s="272"/>
      <c r="C168" s="291" t="str">
        <f>'C. Masterfiles'!C91</f>
        <v>S08</v>
      </c>
      <c r="D168" s="291" t="str">
        <f>'C. Masterfiles'!D91</f>
        <v>Terminating calls (international)</v>
      </c>
      <c r="E168" s="372">
        <v>0.5</v>
      </c>
      <c r="F168" s="372">
        <v>0.5</v>
      </c>
      <c r="G168" s="372">
        <v>1</v>
      </c>
      <c r="H168" s="372">
        <v>1</v>
      </c>
      <c r="I168" s="372"/>
      <c r="J168" s="372"/>
      <c r="K168" s="372"/>
      <c r="L168" s="372">
        <v>1</v>
      </c>
      <c r="M168" s="372">
        <v>1</v>
      </c>
      <c r="N168" s="372">
        <v>1</v>
      </c>
      <c r="O168" s="8"/>
      <c r="P168" s="8"/>
      <c r="Q168" s="8"/>
      <c r="R168" s="8"/>
      <c r="S168" s="8"/>
      <c r="T168" s="8"/>
      <c r="U168" s="8"/>
    </row>
    <row r="169" spans="1:21" ht="15.75">
      <c r="A169" s="21"/>
      <c r="B169" s="272"/>
      <c r="C169" s="291" t="str">
        <f>'C. Masterfiles'!C92</f>
        <v>S09</v>
      </c>
      <c r="D169" s="291" t="str">
        <f>'C. Masterfiles'!D92</f>
        <v>Transit calls</v>
      </c>
      <c r="E169" s="372"/>
      <c r="F169" s="372"/>
      <c r="G169" s="372">
        <v>1</v>
      </c>
      <c r="H169" s="372">
        <v>2</v>
      </c>
      <c r="I169" s="372">
        <v>2</v>
      </c>
      <c r="J169" s="372"/>
      <c r="K169" s="372"/>
      <c r="L169" s="372">
        <v>1</v>
      </c>
      <c r="M169" s="372">
        <v>1</v>
      </c>
      <c r="N169" s="372">
        <v>1</v>
      </c>
      <c r="O169" s="8"/>
      <c r="P169" s="8"/>
      <c r="Q169" s="8"/>
      <c r="R169" s="8"/>
      <c r="S169" s="8"/>
      <c r="T169" s="8"/>
      <c r="U169" s="8"/>
    </row>
    <row r="170" spans="1:21" ht="15.75">
      <c r="A170" s="21"/>
      <c r="B170" s="272"/>
      <c r="C170" s="291" t="str">
        <f>'C. Masterfiles'!C93</f>
        <v>S10</v>
      </c>
      <c r="D170" s="291" t="str">
        <f>'C. Masterfiles'!D93</f>
        <v>Calls to directory enquiries, emergency &amp; helpdesk</v>
      </c>
      <c r="E170" s="372">
        <v>0.5</v>
      </c>
      <c r="F170" s="372">
        <v>0.5</v>
      </c>
      <c r="G170" s="372">
        <v>1</v>
      </c>
      <c r="H170" s="372">
        <v>1</v>
      </c>
      <c r="I170" s="372"/>
      <c r="J170" s="372">
        <v>1</v>
      </c>
      <c r="K170" s="372">
        <v>1</v>
      </c>
      <c r="L170" s="372"/>
      <c r="M170" s="372">
        <v>1</v>
      </c>
      <c r="N170" s="372">
        <v>1</v>
      </c>
      <c r="O170" s="8"/>
      <c r="P170" s="8"/>
      <c r="Q170" s="8"/>
      <c r="R170" s="8"/>
      <c r="S170" s="8"/>
      <c r="T170" s="8"/>
      <c r="U170" s="8"/>
    </row>
    <row r="171" spans="1:21" ht="15.75">
      <c r="A171" s="21"/>
      <c r="B171" s="272"/>
      <c r="C171" s="291" t="str">
        <f>'C. Masterfiles'!C94</f>
        <v>S11</v>
      </c>
      <c r="D171" s="291" t="str">
        <f>'C. Masterfiles'!D94</f>
        <v>Calls to non-geographic numbers</v>
      </c>
      <c r="E171" s="372">
        <v>0.5</v>
      </c>
      <c r="F171" s="372">
        <v>0.5</v>
      </c>
      <c r="G171" s="372">
        <v>1</v>
      </c>
      <c r="H171" s="372">
        <v>1</v>
      </c>
      <c r="I171" s="372"/>
      <c r="J171" s="372">
        <v>1</v>
      </c>
      <c r="K171" s="372">
        <v>1</v>
      </c>
      <c r="L171" s="372"/>
      <c r="M171" s="372">
        <v>1</v>
      </c>
      <c r="N171" s="372">
        <v>1</v>
      </c>
      <c r="O171" s="8"/>
      <c r="P171" s="8"/>
      <c r="Q171" s="8"/>
      <c r="R171" s="8"/>
      <c r="S171" s="8"/>
      <c r="T171" s="8"/>
      <c r="U171" s="8"/>
    </row>
    <row r="172" spans="1:21" ht="15.75">
      <c r="A172" s="21"/>
      <c r="B172" s="272"/>
      <c r="C172" s="291" t="str">
        <f>'C. Masterfiles'!C95</f>
        <v>S12</v>
      </c>
      <c r="D172" s="291" t="str">
        <f>'C. Masterfiles'!D95</f>
        <v>Internet dial-up calls</v>
      </c>
      <c r="E172" s="372">
        <v>0.5</v>
      </c>
      <c r="F172" s="372">
        <v>0.5</v>
      </c>
      <c r="G172" s="372">
        <v>1</v>
      </c>
      <c r="H172" s="372">
        <v>1</v>
      </c>
      <c r="I172" s="372"/>
      <c r="J172" s="372"/>
      <c r="K172" s="372">
        <v>1</v>
      </c>
      <c r="L172" s="372"/>
      <c r="M172" s="372">
        <v>1</v>
      </c>
      <c r="N172" s="372">
        <v>1</v>
      </c>
      <c r="O172" s="8"/>
      <c r="P172" s="8"/>
      <c r="Q172" s="8"/>
      <c r="R172" s="8"/>
      <c r="S172" s="8"/>
      <c r="T172" s="8"/>
      <c r="U172" s="8"/>
    </row>
    <row r="173" spans="1:21" ht="15.75">
      <c r="A173" s="21"/>
      <c r="B173" s="272"/>
      <c r="C173" s="29"/>
      <c r="D173" s="45"/>
      <c r="E173" s="50"/>
      <c r="F173" s="50"/>
      <c r="G173" s="50"/>
      <c r="H173" s="50"/>
      <c r="I173" s="50"/>
      <c r="J173" s="50"/>
      <c r="K173" s="50"/>
      <c r="L173" s="50"/>
      <c r="M173" s="50"/>
      <c r="N173" s="8"/>
      <c r="O173" s="8"/>
      <c r="P173" s="8"/>
      <c r="Q173" s="8"/>
      <c r="R173" s="8"/>
      <c r="S173" s="8"/>
      <c r="T173" s="8"/>
      <c r="U173" s="8"/>
    </row>
    <row r="174" spans="1:21" ht="15" customHeight="1">
      <c r="A174" s="21"/>
      <c r="B174" s="272"/>
      <c r="C174" s="29"/>
      <c r="D174" s="45"/>
      <c r="E174" s="50"/>
      <c r="F174" s="50"/>
      <c r="G174" s="50"/>
      <c r="H174" s="50"/>
      <c r="I174" s="50"/>
      <c r="J174" s="50"/>
      <c r="K174" s="50"/>
      <c r="L174" s="50"/>
      <c r="M174" s="50"/>
      <c r="N174" s="8"/>
      <c r="O174" s="8"/>
      <c r="P174" s="8"/>
      <c r="Q174" s="8"/>
      <c r="R174" s="8"/>
      <c r="S174" s="8"/>
      <c r="T174" s="8"/>
      <c r="U174" s="8"/>
    </row>
    <row r="175" spans="1:21" ht="15.75">
      <c r="A175" s="21"/>
      <c r="B175" s="272"/>
      <c r="C175" s="29" t="s">
        <v>851</v>
      </c>
      <c r="D175" s="45"/>
      <c r="E175" s="50"/>
      <c r="F175" s="50"/>
      <c r="G175" s="50"/>
      <c r="H175" s="50"/>
      <c r="I175" s="50"/>
      <c r="J175" s="50"/>
      <c r="K175" s="50"/>
      <c r="L175" s="50"/>
      <c r="M175" s="50"/>
      <c r="N175" s="8"/>
      <c r="O175" s="8"/>
      <c r="P175" s="8"/>
      <c r="Q175" s="8"/>
      <c r="R175" s="8"/>
      <c r="S175" s="8"/>
      <c r="T175" s="8"/>
      <c r="U175" s="8"/>
    </row>
    <row r="176" spans="1:21" ht="15.75">
      <c r="A176" s="21"/>
      <c r="B176" s="272"/>
      <c r="C176" s="338" t="s">
        <v>634</v>
      </c>
      <c r="D176" s="368" t="s">
        <v>686</v>
      </c>
      <c r="E176" s="366" t="str">
        <f>E160</f>
        <v>RAU</v>
      </c>
      <c r="F176" s="366" t="str">
        <f aca="true" t="shared" si="12" ref="F176:N176">F160</f>
        <v>LS</v>
      </c>
      <c r="G176" s="366" t="str">
        <f t="shared" si="12"/>
        <v>TS</v>
      </c>
      <c r="H176" s="366" t="str">
        <f t="shared" si="12"/>
        <v>ISC</v>
      </c>
      <c r="I176" s="366" t="str">
        <f t="shared" si="12"/>
        <v>IGW</v>
      </c>
      <c r="J176" s="366" t="str">
        <f t="shared" si="12"/>
        <v>IN</v>
      </c>
      <c r="K176" s="366" t="str">
        <f t="shared" si="12"/>
        <v>RBIL</v>
      </c>
      <c r="L176" s="366" t="str">
        <f t="shared" si="12"/>
        <v>IBIL</v>
      </c>
      <c r="M176" s="366" t="str">
        <f t="shared" si="12"/>
        <v>NMS</v>
      </c>
      <c r="N176" s="366" t="str">
        <f t="shared" si="12"/>
        <v>OSS</v>
      </c>
      <c r="O176" s="8"/>
      <c r="P176" s="8"/>
      <c r="Q176" s="8"/>
      <c r="R176" s="8"/>
      <c r="S176" s="8"/>
      <c r="T176" s="8"/>
      <c r="U176" s="8"/>
    </row>
    <row r="177" spans="1:21" ht="15.75">
      <c r="A177" s="21"/>
      <c r="B177" s="272"/>
      <c r="C177" s="291" t="str">
        <f aca="true" t="shared" si="13" ref="C177:D188">C161</f>
        <v>S01</v>
      </c>
      <c r="D177" s="291" t="str">
        <f t="shared" si="13"/>
        <v>On-net local calls</v>
      </c>
      <c r="E177" s="372">
        <v>1</v>
      </c>
      <c r="F177" s="372">
        <v>1</v>
      </c>
      <c r="G177" s="372">
        <v>1.5</v>
      </c>
      <c r="H177" s="372">
        <v>0.2</v>
      </c>
      <c r="I177" s="372"/>
      <c r="J177" s="372"/>
      <c r="K177" s="372">
        <v>1</v>
      </c>
      <c r="L177" s="372"/>
      <c r="M177" s="372">
        <v>1</v>
      </c>
      <c r="N177" s="372">
        <v>1</v>
      </c>
      <c r="O177" s="8"/>
      <c r="P177" s="8"/>
      <c r="Q177" s="8"/>
      <c r="R177" s="8"/>
      <c r="S177" s="8"/>
      <c r="T177" s="8"/>
      <c r="U177" s="8"/>
    </row>
    <row r="178" spans="1:21" ht="15.75">
      <c r="A178" s="21"/>
      <c r="B178" s="272"/>
      <c r="C178" s="291" t="str">
        <f t="shared" si="13"/>
        <v>S02</v>
      </c>
      <c r="D178" s="291" t="str">
        <f t="shared" si="13"/>
        <v>On-net national calls</v>
      </c>
      <c r="E178" s="372">
        <v>1</v>
      </c>
      <c r="F178" s="372">
        <v>1</v>
      </c>
      <c r="G178" s="372">
        <v>2</v>
      </c>
      <c r="H178" s="372">
        <v>0.6</v>
      </c>
      <c r="I178" s="372"/>
      <c r="J178" s="372"/>
      <c r="K178" s="372">
        <v>1</v>
      </c>
      <c r="L178" s="372"/>
      <c r="M178" s="372">
        <v>1</v>
      </c>
      <c r="N178" s="372">
        <v>1</v>
      </c>
      <c r="O178" s="8"/>
      <c r="P178" s="8"/>
      <c r="Q178" s="8"/>
      <c r="R178" s="8"/>
      <c r="S178" s="8"/>
      <c r="T178" s="8"/>
      <c r="U178" s="8"/>
    </row>
    <row r="179" spans="1:21" ht="15.75">
      <c r="A179" s="21"/>
      <c r="B179" s="272"/>
      <c r="C179" s="291" t="str">
        <f t="shared" si="13"/>
        <v>S03</v>
      </c>
      <c r="D179" s="291" t="str">
        <f t="shared" si="13"/>
        <v>Originating calls (local)</v>
      </c>
      <c r="E179" s="372">
        <v>0.5</v>
      </c>
      <c r="F179" s="372">
        <v>0.5</v>
      </c>
      <c r="G179" s="372">
        <v>1</v>
      </c>
      <c r="H179" s="372"/>
      <c r="I179" s="372">
        <v>1</v>
      </c>
      <c r="J179" s="372"/>
      <c r="K179" s="372">
        <v>1</v>
      </c>
      <c r="L179" s="372"/>
      <c r="M179" s="372">
        <v>1</v>
      </c>
      <c r="N179" s="372">
        <v>1</v>
      </c>
      <c r="O179" s="8"/>
      <c r="P179" s="8"/>
      <c r="Q179" s="8"/>
      <c r="R179" s="8"/>
      <c r="S179" s="8"/>
      <c r="T179" s="8"/>
      <c r="U179" s="8"/>
    </row>
    <row r="180" spans="1:21" ht="15.75">
      <c r="A180" s="21"/>
      <c r="B180" s="272"/>
      <c r="C180" s="291" t="str">
        <f t="shared" si="13"/>
        <v>S04</v>
      </c>
      <c r="D180" s="291" t="str">
        <f t="shared" si="13"/>
        <v>Originating calls (national) </v>
      </c>
      <c r="E180" s="372">
        <v>0.5</v>
      </c>
      <c r="F180" s="372">
        <v>0.5</v>
      </c>
      <c r="G180" s="372">
        <v>1</v>
      </c>
      <c r="H180" s="372">
        <v>1</v>
      </c>
      <c r="I180" s="372">
        <v>1</v>
      </c>
      <c r="J180" s="372"/>
      <c r="K180" s="372">
        <v>1</v>
      </c>
      <c r="L180" s="372"/>
      <c r="M180" s="372">
        <v>1</v>
      </c>
      <c r="N180" s="372">
        <v>1</v>
      </c>
      <c r="O180" s="8"/>
      <c r="P180" s="8"/>
      <c r="Q180" s="8"/>
      <c r="R180" s="8"/>
      <c r="S180" s="8"/>
      <c r="T180" s="8"/>
      <c r="U180" s="8"/>
    </row>
    <row r="181" spans="1:21" ht="15.75">
      <c r="A181" s="21"/>
      <c r="B181" s="272"/>
      <c r="C181" s="291" t="str">
        <f t="shared" si="13"/>
        <v>S05</v>
      </c>
      <c r="D181" s="291" t="str">
        <f t="shared" si="13"/>
        <v>Originating calls (international)</v>
      </c>
      <c r="E181" s="372">
        <v>0.5</v>
      </c>
      <c r="F181" s="372">
        <v>0.5</v>
      </c>
      <c r="G181" s="372">
        <v>1</v>
      </c>
      <c r="H181" s="372">
        <v>1</v>
      </c>
      <c r="I181" s="372"/>
      <c r="J181" s="372"/>
      <c r="K181" s="372">
        <v>1</v>
      </c>
      <c r="L181" s="372"/>
      <c r="M181" s="372">
        <v>1</v>
      </c>
      <c r="N181" s="372">
        <v>1</v>
      </c>
      <c r="O181" s="8"/>
      <c r="P181" s="8"/>
      <c r="Q181" s="8"/>
      <c r="R181" s="8"/>
      <c r="S181" s="8"/>
      <c r="T181" s="8"/>
      <c r="U181" s="8"/>
    </row>
    <row r="182" spans="1:21" ht="15.75">
      <c r="A182" s="21"/>
      <c r="B182" s="272"/>
      <c r="C182" s="291" t="str">
        <f t="shared" si="13"/>
        <v>S06</v>
      </c>
      <c r="D182" s="291" t="str">
        <f t="shared" si="13"/>
        <v>Terminating calls (local)</v>
      </c>
      <c r="E182" s="372">
        <v>0.5</v>
      </c>
      <c r="F182" s="372">
        <v>0.5</v>
      </c>
      <c r="G182" s="372">
        <v>1</v>
      </c>
      <c r="H182" s="372"/>
      <c r="I182" s="372">
        <v>1</v>
      </c>
      <c r="J182" s="372"/>
      <c r="K182" s="372"/>
      <c r="L182" s="372">
        <v>1</v>
      </c>
      <c r="M182" s="372">
        <v>1</v>
      </c>
      <c r="N182" s="372">
        <v>1</v>
      </c>
      <c r="O182" s="8"/>
      <c r="P182" s="8"/>
      <c r="Q182" s="8"/>
      <c r="R182" s="8"/>
      <c r="S182" s="8"/>
      <c r="T182" s="8"/>
      <c r="U182" s="8"/>
    </row>
    <row r="183" spans="1:21" ht="15.75">
      <c r="A183" s="21"/>
      <c r="B183" s="272"/>
      <c r="C183" s="291" t="str">
        <f t="shared" si="13"/>
        <v>S07</v>
      </c>
      <c r="D183" s="291" t="str">
        <f t="shared" si="13"/>
        <v>Terminating calls (national) </v>
      </c>
      <c r="E183" s="372">
        <v>0.5</v>
      </c>
      <c r="F183" s="372">
        <v>0.5</v>
      </c>
      <c r="G183" s="372">
        <v>1</v>
      </c>
      <c r="H183" s="372">
        <v>1</v>
      </c>
      <c r="I183" s="372">
        <v>1</v>
      </c>
      <c r="J183" s="372"/>
      <c r="K183" s="372"/>
      <c r="L183" s="372">
        <v>1</v>
      </c>
      <c r="M183" s="372">
        <v>1</v>
      </c>
      <c r="N183" s="372">
        <v>1</v>
      </c>
      <c r="O183" s="8"/>
      <c r="P183" s="8"/>
      <c r="Q183" s="8"/>
      <c r="R183" s="8"/>
      <c r="S183" s="8"/>
      <c r="T183" s="8"/>
      <c r="U183" s="8"/>
    </row>
    <row r="184" spans="1:21" ht="15.75">
      <c r="A184" s="21"/>
      <c r="B184" s="272"/>
      <c r="C184" s="291" t="str">
        <f t="shared" si="13"/>
        <v>S08</v>
      </c>
      <c r="D184" s="291" t="str">
        <f t="shared" si="13"/>
        <v>Terminating calls (international)</v>
      </c>
      <c r="E184" s="372">
        <v>0.5</v>
      </c>
      <c r="F184" s="372">
        <v>0.5</v>
      </c>
      <c r="G184" s="372">
        <v>1</v>
      </c>
      <c r="H184" s="372">
        <v>1</v>
      </c>
      <c r="I184" s="372"/>
      <c r="J184" s="372"/>
      <c r="K184" s="372"/>
      <c r="L184" s="372">
        <v>1</v>
      </c>
      <c r="M184" s="372">
        <v>1</v>
      </c>
      <c r="N184" s="372">
        <v>1</v>
      </c>
      <c r="O184" s="8"/>
      <c r="P184" s="8"/>
      <c r="Q184" s="8"/>
      <c r="R184" s="8"/>
      <c r="S184" s="8"/>
      <c r="T184" s="8"/>
      <c r="U184" s="8"/>
    </row>
    <row r="185" spans="1:21" ht="15.75">
      <c r="A185" s="21"/>
      <c r="B185" s="272"/>
      <c r="C185" s="291" t="str">
        <f t="shared" si="13"/>
        <v>S09</v>
      </c>
      <c r="D185" s="291" t="str">
        <f t="shared" si="13"/>
        <v>Transit calls</v>
      </c>
      <c r="E185" s="372"/>
      <c r="F185" s="372"/>
      <c r="G185" s="372">
        <v>1</v>
      </c>
      <c r="H185" s="372">
        <v>2</v>
      </c>
      <c r="I185" s="372">
        <v>2</v>
      </c>
      <c r="J185" s="372"/>
      <c r="K185" s="372"/>
      <c r="L185" s="372">
        <v>1</v>
      </c>
      <c r="M185" s="372">
        <v>1</v>
      </c>
      <c r="N185" s="372">
        <v>1</v>
      </c>
      <c r="O185" s="8"/>
      <c r="P185" s="8"/>
      <c r="Q185" s="8"/>
      <c r="R185" s="8"/>
      <c r="S185" s="8"/>
      <c r="T185" s="8"/>
      <c r="U185" s="8"/>
    </row>
    <row r="186" spans="1:21" ht="15.75">
      <c r="A186" s="21"/>
      <c r="B186" s="272"/>
      <c r="C186" s="291" t="str">
        <f t="shared" si="13"/>
        <v>S10</v>
      </c>
      <c r="D186" s="291" t="str">
        <f t="shared" si="13"/>
        <v>Calls to directory enquiries, emergency &amp; helpdesk</v>
      </c>
      <c r="E186" s="372">
        <v>0.5</v>
      </c>
      <c r="F186" s="372">
        <v>0.5</v>
      </c>
      <c r="G186" s="372">
        <v>1</v>
      </c>
      <c r="H186" s="372">
        <v>1</v>
      </c>
      <c r="I186" s="372"/>
      <c r="J186" s="372">
        <v>1</v>
      </c>
      <c r="K186" s="372">
        <v>1</v>
      </c>
      <c r="L186" s="372"/>
      <c r="M186" s="372">
        <v>1</v>
      </c>
      <c r="N186" s="372">
        <v>1</v>
      </c>
      <c r="O186" s="8"/>
      <c r="P186" s="8"/>
      <c r="Q186" s="8"/>
      <c r="R186" s="8"/>
      <c r="S186" s="8"/>
      <c r="T186" s="8"/>
      <c r="U186" s="8"/>
    </row>
    <row r="187" spans="1:21" ht="15.75">
      <c r="A187" s="21"/>
      <c r="B187" s="272"/>
      <c r="C187" s="291" t="str">
        <f t="shared" si="13"/>
        <v>S11</v>
      </c>
      <c r="D187" s="291" t="str">
        <f t="shared" si="13"/>
        <v>Calls to non-geographic numbers</v>
      </c>
      <c r="E187" s="372">
        <v>0.5</v>
      </c>
      <c r="F187" s="372">
        <v>0.5</v>
      </c>
      <c r="G187" s="372">
        <v>1</v>
      </c>
      <c r="H187" s="372">
        <v>1</v>
      </c>
      <c r="I187" s="372"/>
      <c r="J187" s="372">
        <v>1</v>
      </c>
      <c r="K187" s="372">
        <v>1</v>
      </c>
      <c r="L187" s="372"/>
      <c r="M187" s="372">
        <v>1</v>
      </c>
      <c r="N187" s="372">
        <v>1</v>
      </c>
      <c r="O187" s="8"/>
      <c r="P187" s="8"/>
      <c r="Q187" s="8"/>
      <c r="R187" s="8"/>
      <c r="S187" s="8"/>
      <c r="T187" s="8"/>
      <c r="U187" s="8"/>
    </row>
    <row r="188" spans="1:21" ht="15.75">
      <c r="A188" s="21"/>
      <c r="B188" s="272"/>
      <c r="C188" s="291" t="str">
        <f t="shared" si="13"/>
        <v>S12</v>
      </c>
      <c r="D188" s="291" t="str">
        <f t="shared" si="13"/>
        <v>Internet dial-up calls</v>
      </c>
      <c r="E188" s="372">
        <v>0.5</v>
      </c>
      <c r="F188" s="372">
        <v>0.5</v>
      </c>
      <c r="G188" s="372">
        <v>1</v>
      </c>
      <c r="H188" s="372">
        <v>1</v>
      </c>
      <c r="I188" s="372"/>
      <c r="J188" s="372"/>
      <c r="K188" s="372">
        <v>1</v>
      </c>
      <c r="L188" s="372"/>
      <c r="M188" s="372">
        <v>1</v>
      </c>
      <c r="N188" s="372">
        <v>1</v>
      </c>
      <c r="O188" s="8"/>
      <c r="P188" s="8"/>
      <c r="Q188" s="8"/>
      <c r="R188" s="8"/>
      <c r="S188" s="8"/>
      <c r="T188" s="8"/>
      <c r="U188" s="8"/>
    </row>
    <row r="189" spans="1:21" ht="15.75">
      <c r="A189" s="21"/>
      <c r="B189" s="272"/>
      <c r="C189" s="29"/>
      <c r="D189" s="45"/>
      <c r="E189" s="50"/>
      <c r="F189" s="50"/>
      <c r="G189" s="50"/>
      <c r="H189" s="50"/>
      <c r="I189" s="50"/>
      <c r="J189" s="50"/>
      <c r="K189" s="50"/>
      <c r="L189" s="50"/>
      <c r="M189" s="50"/>
      <c r="N189" s="8"/>
      <c r="O189" s="8"/>
      <c r="P189" s="8"/>
      <c r="Q189" s="8"/>
      <c r="R189" s="8"/>
      <c r="S189" s="8"/>
      <c r="T189" s="8"/>
      <c r="U189" s="8"/>
    </row>
    <row r="190" spans="1:21" ht="15.75">
      <c r="A190" s="21"/>
      <c r="B190" s="272"/>
      <c r="C190" s="29"/>
      <c r="D190" s="45"/>
      <c r="E190" s="50"/>
      <c r="F190" s="50"/>
      <c r="G190" s="50"/>
      <c r="H190" s="50"/>
      <c r="I190" s="50"/>
      <c r="J190" s="50"/>
      <c r="K190" s="50"/>
      <c r="L190" s="50"/>
      <c r="M190" s="50"/>
      <c r="N190" s="8"/>
      <c r="O190" s="8"/>
      <c r="P190" s="8"/>
      <c r="Q190" s="8"/>
      <c r="R190" s="8"/>
      <c r="S190" s="8"/>
      <c r="T190" s="8"/>
      <c r="U190" s="8"/>
    </row>
    <row r="191" spans="1:21" ht="15.75">
      <c r="A191" s="21"/>
      <c r="B191" s="272"/>
      <c r="C191" s="29" t="s">
        <v>957</v>
      </c>
      <c r="D191" s="45"/>
      <c r="E191" s="50"/>
      <c r="F191" s="50"/>
      <c r="G191" s="50"/>
      <c r="H191" s="50"/>
      <c r="I191" s="50"/>
      <c r="J191" s="50"/>
      <c r="K191" s="50"/>
      <c r="L191" s="50"/>
      <c r="M191" s="50"/>
      <c r="N191" s="8"/>
      <c r="O191" s="8"/>
      <c r="P191" s="8"/>
      <c r="Q191" s="8"/>
      <c r="R191" s="8"/>
      <c r="S191" s="8"/>
      <c r="T191" s="8"/>
      <c r="U191" s="8"/>
    </row>
    <row r="192" spans="1:206" s="367" customFormat="1" ht="12.75">
      <c r="A192" s="21"/>
      <c r="B192" s="88"/>
      <c r="C192" s="338" t="s">
        <v>634</v>
      </c>
      <c r="D192" s="368" t="s">
        <v>686</v>
      </c>
      <c r="E192" s="366" t="str">
        <f>'C. Masterfiles'!E53</f>
        <v>RAU</v>
      </c>
      <c r="F192" s="366" t="str">
        <f>'C. Masterfiles'!E54</f>
        <v>LS</v>
      </c>
      <c r="G192" s="366" t="str">
        <f>'C. Masterfiles'!E55</f>
        <v>TS</v>
      </c>
      <c r="H192" s="366" t="str">
        <f>'C. Masterfiles'!E56</f>
        <v>ISC</v>
      </c>
      <c r="I192" s="366" t="str">
        <f>'C. Masterfiles'!E57</f>
        <v>IGW</v>
      </c>
      <c r="J192" s="366" t="str">
        <f>'C. Masterfiles'!E58</f>
        <v>IN</v>
      </c>
      <c r="K192" s="366" t="str">
        <f>'C. Masterfiles'!E59</f>
        <v>RBIL</v>
      </c>
      <c r="L192" s="366" t="str">
        <f>'C. Masterfiles'!E60</f>
        <v>IBIL</v>
      </c>
      <c r="M192" s="366" t="str">
        <f>'C. Masterfiles'!E61</f>
        <v>NMS</v>
      </c>
      <c r="N192" s="366" t="str">
        <f>'C. Masterfiles'!E62</f>
        <v>OSS</v>
      </c>
      <c r="O192" s="8"/>
      <c r="P192" s="8"/>
      <c r="Q192" s="8"/>
      <c r="R192" s="8"/>
      <c r="S192" s="8"/>
      <c r="T192" s="8"/>
      <c r="U192" s="1"/>
      <c r="V192" s="1"/>
      <c r="W192" s="1"/>
      <c r="X192" s="1"/>
      <c r="Y192" s="1"/>
      <c r="Z192" s="1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</row>
    <row r="193" spans="1:21" ht="15.75">
      <c r="A193" s="21"/>
      <c r="B193" s="272"/>
      <c r="C193" s="291" t="str">
        <f>'C. Masterfiles'!C84</f>
        <v>S01</v>
      </c>
      <c r="D193" s="291" t="str">
        <f>'C. Masterfiles'!D84</f>
        <v>On-net local calls</v>
      </c>
      <c r="E193" s="499">
        <f>IF('B. Dashboard'!$K$36=1,E161,IF('B. Dashboard'!$K$36=2,E177))</f>
        <v>1</v>
      </c>
      <c r="F193" s="499">
        <f>IF('B. Dashboard'!$K$36=1,F161,IF('B. Dashboard'!$K$36=2,F177))</f>
        <v>1</v>
      </c>
      <c r="G193" s="499">
        <f>IF('B. Dashboard'!$K$36=1,G161,IF('B. Dashboard'!$K$36=2,G177))</f>
        <v>1.5</v>
      </c>
      <c r="H193" s="499">
        <f>IF('B. Dashboard'!$K$36=1,H161,IF('B. Dashboard'!$K$36=2,H177))</f>
        <v>0.2</v>
      </c>
      <c r="I193" s="499">
        <f>IF('B. Dashboard'!$K$36=1,I161,IF('B. Dashboard'!$K$36=2,I177))</f>
        <v>0</v>
      </c>
      <c r="J193" s="499">
        <f>IF('B. Dashboard'!$K$36=1,J161,IF('B. Dashboard'!$K$36=2,J177))</f>
        <v>0</v>
      </c>
      <c r="K193" s="499">
        <f>IF('B. Dashboard'!$K$36=1,K161,IF('B. Dashboard'!$K$36=2,K177))</f>
        <v>1</v>
      </c>
      <c r="L193" s="499">
        <f>IF('B. Dashboard'!$K$36=1,L161,IF('B. Dashboard'!$K$36=2,L177))</f>
        <v>0</v>
      </c>
      <c r="M193" s="499">
        <f>IF('B. Dashboard'!$K$36=1,M161,IF('B. Dashboard'!$K$36=2,M177))</f>
        <v>1</v>
      </c>
      <c r="N193" s="499">
        <f>IF('B. Dashboard'!$K$36=1,N161,IF('B. Dashboard'!$K$36=2,N177))</f>
        <v>1</v>
      </c>
      <c r="O193" s="8"/>
      <c r="P193" s="8"/>
      <c r="Q193" s="8"/>
      <c r="R193" s="8"/>
      <c r="S193" s="8"/>
      <c r="T193" s="8"/>
      <c r="U193" s="8"/>
    </row>
    <row r="194" spans="1:21" ht="15.75">
      <c r="A194" s="21"/>
      <c r="B194" s="272"/>
      <c r="C194" s="291" t="str">
        <f>'C. Masterfiles'!C85</f>
        <v>S02</v>
      </c>
      <c r="D194" s="291" t="str">
        <f>'C. Masterfiles'!D85</f>
        <v>On-net national calls</v>
      </c>
      <c r="E194" s="499">
        <f>IF('B. Dashboard'!$K$36=1,E162,IF('B. Dashboard'!$K$36=2,E178))</f>
        <v>1</v>
      </c>
      <c r="F194" s="499">
        <f>IF('B. Dashboard'!$K$36=1,F162,IF('B. Dashboard'!$K$36=2,F178))</f>
        <v>1</v>
      </c>
      <c r="G194" s="499">
        <f>IF('B. Dashboard'!$K$36=1,G162,IF('B. Dashboard'!$K$36=2,G178))</f>
        <v>2</v>
      </c>
      <c r="H194" s="499">
        <f>IF('B. Dashboard'!$K$36=1,H162,IF('B. Dashboard'!$K$36=2,H178))</f>
        <v>0.6</v>
      </c>
      <c r="I194" s="499">
        <f>IF('B. Dashboard'!$K$36=1,I162,IF('B. Dashboard'!$K$36=2,I178))</f>
        <v>0</v>
      </c>
      <c r="J194" s="499">
        <f>IF('B. Dashboard'!$K$36=1,J162,IF('B. Dashboard'!$K$36=2,J178))</f>
        <v>0</v>
      </c>
      <c r="K194" s="499">
        <f>IF('B. Dashboard'!$K$36=1,K162,IF('B. Dashboard'!$K$36=2,K178))</f>
        <v>1</v>
      </c>
      <c r="L194" s="499">
        <f>IF('B. Dashboard'!$K$36=1,L162,IF('B. Dashboard'!$K$36=2,L178))</f>
        <v>0</v>
      </c>
      <c r="M194" s="499">
        <f>IF('B. Dashboard'!$K$36=1,M162,IF('B. Dashboard'!$K$36=2,M178))</f>
        <v>1</v>
      </c>
      <c r="N194" s="499">
        <f>IF('B. Dashboard'!$K$36=1,N162,IF('B. Dashboard'!$K$36=2,N178))</f>
        <v>1</v>
      </c>
      <c r="O194" s="8"/>
      <c r="P194" s="8"/>
      <c r="Q194" s="8"/>
      <c r="R194" s="8"/>
      <c r="S194" s="8"/>
      <c r="T194" s="8"/>
      <c r="U194" s="8"/>
    </row>
    <row r="195" spans="1:21" ht="15.75">
      <c r="A195" s="21"/>
      <c r="B195" s="272"/>
      <c r="C195" s="291" t="str">
        <f>'C. Masterfiles'!C86</f>
        <v>S03</v>
      </c>
      <c r="D195" s="291" t="str">
        <f>'C. Masterfiles'!D86</f>
        <v>Originating calls (local)</v>
      </c>
      <c r="E195" s="499">
        <f>IF('B. Dashboard'!$K$36=1,E163,IF('B. Dashboard'!$K$36=2,E179))</f>
        <v>0.5</v>
      </c>
      <c r="F195" s="499">
        <f>IF('B. Dashboard'!$K$36=1,F163,IF('B. Dashboard'!$K$36=2,F179))</f>
        <v>0.5</v>
      </c>
      <c r="G195" s="499">
        <f>IF('B. Dashboard'!$K$36=1,G163,IF('B. Dashboard'!$K$36=2,G179))</f>
        <v>1</v>
      </c>
      <c r="H195" s="499">
        <f>IF('B. Dashboard'!$K$36=1,H163,IF('B. Dashboard'!$K$36=2,H179))</f>
        <v>0</v>
      </c>
      <c r="I195" s="499">
        <f>IF('B. Dashboard'!$K$36=1,I163,IF('B. Dashboard'!$K$36=2,I179))</f>
        <v>1</v>
      </c>
      <c r="J195" s="499">
        <f>IF('B. Dashboard'!$K$36=1,J163,IF('B. Dashboard'!$K$36=2,J179))</f>
        <v>0</v>
      </c>
      <c r="K195" s="499">
        <f>IF('B. Dashboard'!$K$36=1,K163,IF('B. Dashboard'!$K$36=2,K179))</f>
        <v>1</v>
      </c>
      <c r="L195" s="499">
        <f>IF('B. Dashboard'!$K$36=1,L163,IF('B. Dashboard'!$K$36=2,L179))</f>
        <v>0</v>
      </c>
      <c r="M195" s="499">
        <f>IF('B. Dashboard'!$K$36=1,M163,IF('B. Dashboard'!$K$36=2,M179))</f>
        <v>1</v>
      </c>
      <c r="N195" s="499">
        <f>IF('B. Dashboard'!$K$36=1,N163,IF('B. Dashboard'!$K$36=2,N179))</f>
        <v>1</v>
      </c>
      <c r="O195" s="8"/>
      <c r="P195" s="8"/>
      <c r="Q195" s="8"/>
      <c r="R195" s="8"/>
      <c r="S195" s="8"/>
      <c r="T195" s="8"/>
      <c r="U195" s="8"/>
    </row>
    <row r="196" spans="1:21" ht="15.75">
      <c r="A196" s="21"/>
      <c r="B196" s="272"/>
      <c r="C196" s="291" t="str">
        <f>'C. Masterfiles'!C87</f>
        <v>S04</v>
      </c>
      <c r="D196" s="291" t="str">
        <f>'C. Masterfiles'!D87</f>
        <v>Originating calls (national) </v>
      </c>
      <c r="E196" s="499">
        <f>IF('B. Dashboard'!$K$36=1,E164,IF('B. Dashboard'!$K$36=2,E180))</f>
        <v>0.5</v>
      </c>
      <c r="F196" s="499">
        <f>IF('B. Dashboard'!$K$36=1,F164,IF('B. Dashboard'!$K$36=2,F180))</f>
        <v>0.5</v>
      </c>
      <c r="G196" s="499">
        <f>IF('B. Dashboard'!$K$36=1,G164,IF('B. Dashboard'!$K$36=2,G180))</f>
        <v>1</v>
      </c>
      <c r="H196" s="499">
        <f>IF('B. Dashboard'!$K$36=1,H164,IF('B. Dashboard'!$K$36=2,H180))</f>
        <v>1</v>
      </c>
      <c r="I196" s="499">
        <f>IF('B. Dashboard'!$K$36=1,I164,IF('B. Dashboard'!$K$36=2,I180))</f>
        <v>1</v>
      </c>
      <c r="J196" s="499">
        <f>IF('B. Dashboard'!$K$36=1,J164,IF('B. Dashboard'!$K$36=2,J180))</f>
        <v>0</v>
      </c>
      <c r="K196" s="499">
        <f>IF('B. Dashboard'!$K$36=1,K164,IF('B. Dashboard'!$K$36=2,K180))</f>
        <v>1</v>
      </c>
      <c r="L196" s="499">
        <f>IF('B. Dashboard'!$K$36=1,L164,IF('B. Dashboard'!$K$36=2,L180))</f>
        <v>0</v>
      </c>
      <c r="M196" s="499">
        <f>IF('B. Dashboard'!$K$36=1,M164,IF('B. Dashboard'!$K$36=2,M180))</f>
        <v>1</v>
      </c>
      <c r="N196" s="499">
        <f>IF('B. Dashboard'!$K$36=1,N164,IF('B. Dashboard'!$K$36=2,N180))</f>
        <v>1</v>
      </c>
      <c r="O196" s="8"/>
      <c r="P196" s="8"/>
      <c r="Q196" s="8"/>
      <c r="R196" s="8"/>
      <c r="S196" s="8"/>
      <c r="T196" s="8"/>
      <c r="U196" s="8"/>
    </row>
    <row r="197" spans="1:21" ht="15.75">
      <c r="A197" s="21"/>
      <c r="B197" s="272"/>
      <c r="C197" s="291" t="str">
        <f>'C. Masterfiles'!C88</f>
        <v>S05</v>
      </c>
      <c r="D197" s="291" t="str">
        <f>'C. Masterfiles'!D88</f>
        <v>Originating calls (international)</v>
      </c>
      <c r="E197" s="499">
        <f>IF('B. Dashboard'!$K$36=1,E165,IF('B. Dashboard'!$K$36=2,E181))</f>
        <v>0.5</v>
      </c>
      <c r="F197" s="499">
        <f>IF('B. Dashboard'!$K$36=1,F165,IF('B. Dashboard'!$K$36=2,F181))</f>
        <v>0.5</v>
      </c>
      <c r="G197" s="499">
        <f>IF('B. Dashboard'!$K$36=1,G165,IF('B. Dashboard'!$K$36=2,G181))</f>
        <v>1</v>
      </c>
      <c r="H197" s="499">
        <f>IF('B. Dashboard'!$K$36=1,H165,IF('B. Dashboard'!$K$36=2,H181))</f>
        <v>1</v>
      </c>
      <c r="I197" s="499">
        <f>IF('B. Dashboard'!$K$36=1,I165,IF('B. Dashboard'!$K$36=2,I181))</f>
        <v>0</v>
      </c>
      <c r="J197" s="499">
        <f>IF('B. Dashboard'!$K$36=1,J165,IF('B. Dashboard'!$K$36=2,J181))</f>
        <v>0</v>
      </c>
      <c r="K197" s="499">
        <f>IF('B. Dashboard'!$K$36=1,K165,IF('B. Dashboard'!$K$36=2,K181))</f>
        <v>1</v>
      </c>
      <c r="L197" s="499">
        <f>IF('B. Dashboard'!$K$36=1,L165,IF('B. Dashboard'!$K$36=2,L181))</f>
        <v>0</v>
      </c>
      <c r="M197" s="499">
        <f>IF('B. Dashboard'!$K$36=1,M165,IF('B. Dashboard'!$K$36=2,M181))</f>
        <v>1</v>
      </c>
      <c r="N197" s="499">
        <f>IF('B. Dashboard'!$K$36=1,N165,IF('B. Dashboard'!$K$36=2,N181))</f>
        <v>1</v>
      </c>
      <c r="O197" s="8"/>
      <c r="P197" s="8"/>
      <c r="Q197" s="8"/>
      <c r="R197" s="8"/>
      <c r="S197" s="8"/>
      <c r="T197" s="8"/>
      <c r="U197" s="8"/>
    </row>
    <row r="198" spans="1:21" ht="15.75">
      <c r="A198" s="21"/>
      <c r="B198" s="272"/>
      <c r="C198" s="291" t="str">
        <f>'C. Masterfiles'!C89</f>
        <v>S06</v>
      </c>
      <c r="D198" s="291" t="str">
        <f>'C. Masterfiles'!D89</f>
        <v>Terminating calls (local)</v>
      </c>
      <c r="E198" s="499">
        <f>IF('B. Dashboard'!$K$36=1,E166,IF('B. Dashboard'!$K$36=2,E182))</f>
        <v>0.5</v>
      </c>
      <c r="F198" s="499">
        <f>IF('B. Dashboard'!$K$36=1,F166,IF('B. Dashboard'!$K$36=2,F182))</f>
        <v>0.5</v>
      </c>
      <c r="G198" s="499">
        <f>IF('B. Dashboard'!$K$36=1,G166,IF('B. Dashboard'!$K$36=2,G182))</f>
        <v>1</v>
      </c>
      <c r="H198" s="499">
        <f>IF('B. Dashboard'!$K$36=1,H166,IF('B. Dashboard'!$K$36=2,H182))</f>
        <v>0</v>
      </c>
      <c r="I198" s="499">
        <f>IF('B. Dashboard'!$K$36=1,I166,IF('B. Dashboard'!$K$36=2,I182))</f>
        <v>1</v>
      </c>
      <c r="J198" s="499">
        <f>IF('B. Dashboard'!$K$36=1,J166,IF('B. Dashboard'!$K$36=2,J182))</f>
        <v>0</v>
      </c>
      <c r="K198" s="499">
        <f>IF('B. Dashboard'!$K$36=1,K166,IF('B. Dashboard'!$K$36=2,K182))</f>
        <v>0</v>
      </c>
      <c r="L198" s="499">
        <f>IF('B. Dashboard'!$K$36=1,L166,IF('B. Dashboard'!$K$36=2,L182))</f>
        <v>1</v>
      </c>
      <c r="M198" s="499">
        <f>IF('B. Dashboard'!$K$36=1,M166,IF('B. Dashboard'!$K$36=2,M182))</f>
        <v>1</v>
      </c>
      <c r="N198" s="499">
        <f>IF('B. Dashboard'!$K$36=1,N166,IF('B. Dashboard'!$K$36=2,N182))</f>
        <v>1</v>
      </c>
      <c r="O198" s="8"/>
      <c r="P198" s="8"/>
      <c r="Q198" s="8"/>
      <c r="R198" s="8"/>
      <c r="S198" s="8"/>
      <c r="T198" s="8"/>
      <c r="U198" s="8"/>
    </row>
    <row r="199" spans="1:21" ht="15.75">
      <c r="A199" s="21"/>
      <c r="B199" s="272"/>
      <c r="C199" s="291" t="str">
        <f>'C. Masterfiles'!C90</f>
        <v>S07</v>
      </c>
      <c r="D199" s="291" t="str">
        <f>'C. Masterfiles'!D90</f>
        <v>Terminating calls (national) </v>
      </c>
      <c r="E199" s="499">
        <f>IF('B. Dashboard'!$K$36=1,E167,IF('B. Dashboard'!$K$36=2,E183))</f>
        <v>0.5</v>
      </c>
      <c r="F199" s="499">
        <f>IF('B. Dashboard'!$K$36=1,F167,IF('B. Dashboard'!$K$36=2,F183))</f>
        <v>0.5</v>
      </c>
      <c r="G199" s="499">
        <f>IF('B. Dashboard'!$K$36=1,G167,IF('B. Dashboard'!$K$36=2,G183))</f>
        <v>1</v>
      </c>
      <c r="H199" s="499">
        <f>IF('B. Dashboard'!$K$36=1,H167,IF('B. Dashboard'!$K$36=2,H183))</f>
        <v>1</v>
      </c>
      <c r="I199" s="499">
        <f>IF('B. Dashboard'!$K$36=1,I167,IF('B. Dashboard'!$K$36=2,I183))</f>
        <v>1</v>
      </c>
      <c r="J199" s="499">
        <f>IF('B. Dashboard'!$K$36=1,J167,IF('B. Dashboard'!$K$36=2,J183))</f>
        <v>0</v>
      </c>
      <c r="K199" s="499">
        <f>IF('B. Dashboard'!$K$36=1,K167,IF('B. Dashboard'!$K$36=2,K183))</f>
        <v>0</v>
      </c>
      <c r="L199" s="499">
        <f>IF('B. Dashboard'!$K$36=1,L167,IF('B. Dashboard'!$K$36=2,L183))</f>
        <v>1</v>
      </c>
      <c r="M199" s="499">
        <f>IF('B. Dashboard'!$K$36=1,M167,IF('B. Dashboard'!$K$36=2,M183))</f>
        <v>1</v>
      </c>
      <c r="N199" s="499">
        <f>IF('B. Dashboard'!$K$36=1,N167,IF('B. Dashboard'!$K$36=2,N183))</f>
        <v>1</v>
      </c>
      <c r="O199" s="8"/>
      <c r="P199" s="8"/>
      <c r="Q199" s="8"/>
      <c r="R199" s="8"/>
      <c r="S199" s="8"/>
      <c r="T199" s="8"/>
      <c r="U199" s="8"/>
    </row>
    <row r="200" spans="1:21" ht="15.75">
      <c r="A200" s="21"/>
      <c r="B200" s="272"/>
      <c r="C200" s="291" t="str">
        <f>'C. Masterfiles'!C91</f>
        <v>S08</v>
      </c>
      <c r="D200" s="291" t="str">
        <f>'C. Masterfiles'!D91</f>
        <v>Terminating calls (international)</v>
      </c>
      <c r="E200" s="499">
        <f>IF('B. Dashboard'!$K$36=1,E168,IF('B. Dashboard'!$K$36=2,E184))</f>
        <v>0.5</v>
      </c>
      <c r="F200" s="499">
        <f>IF('B. Dashboard'!$K$36=1,F168,IF('B. Dashboard'!$K$36=2,F184))</f>
        <v>0.5</v>
      </c>
      <c r="G200" s="499">
        <f>IF('B. Dashboard'!$K$36=1,G168,IF('B. Dashboard'!$K$36=2,G184))</f>
        <v>1</v>
      </c>
      <c r="H200" s="499">
        <f>IF('B. Dashboard'!$K$36=1,H168,IF('B. Dashboard'!$K$36=2,H184))</f>
        <v>1</v>
      </c>
      <c r="I200" s="499">
        <f>IF('B. Dashboard'!$K$36=1,I168,IF('B. Dashboard'!$K$36=2,I184))</f>
        <v>0</v>
      </c>
      <c r="J200" s="499">
        <f>IF('B. Dashboard'!$K$36=1,J168,IF('B. Dashboard'!$K$36=2,J184))</f>
        <v>0</v>
      </c>
      <c r="K200" s="499">
        <f>IF('B. Dashboard'!$K$36=1,K168,IF('B. Dashboard'!$K$36=2,K184))</f>
        <v>0</v>
      </c>
      <c r="L200" s="499">
        <f>IF('B. Dashboard'!$K$36=1,L168,IF('B. Dashboard'!$K$36=2,L184))</f>
        <v>1</v>
      </c>
      <c r="M200" s="499">
        <f>IF('B. Dashboard'!$K$36=1,M168,IF('B. Dashboard'!$K$36=2,M184))</f>
        <v>1</v>
      </c>
      <c r="N200" s="499">
        <f>IF('B. Dashboard'!$K$36=1,N168,IF('B. Dashboard'!$K$36=2,N184))</f>
        <v>1</v>
      </c>
      <c r="O200" s="8"/>
      <c r="P200" s="8"/>
      <c r="Q200" s="8"/>
      <c r="R200" s="8"/>
      <c r="S200" s="8"/>
      <c r="T200" s="8"/>
      <c r="U200" s="8"/>
    </row>
    <row r="201" spans="1:21" ht="15.75">
      <c r="A201" s="21"/>
      <c r="B201" s="272"/>
      <c r="C201" s="291" t="str">
        <f>'C. Masterfiles'!C92</f>
        <v>S09</v>
      </c>
      <c r="D201" s="291" t="str">
        <f>'C. Masterfiles'!D92</f>
        <v>Transit calls</v>
      </c>
      <c r="E201" s="499">
        <f>IF('B. Dashboard'!$K$36=1,E169,IF('B. Dashboard'!$K$36=2,E185))</f>
        <v>0</v>
      </c>
      <c r="F201" s="499">
        <f>IF('B. Dashboard'!$K$36=1,F169,IF('B. Dashboard'!$K$36=2,F185))</f>
        <v>0</v>
      </c>
      <c r="G201" s="499">
        <f>IF('B. Dashboard'!$K$36=1,G169,IF('B. Dashboard'!$K$36=2,G185))</f>
        <v>1</v>
      </c>
      <c r="H201" s="499">
        <f>IF('B. Dashboard'!$K$36=1,H169,IF('B. Dashboard'!$K$36=2,H185))</f>
        <v>2</v>
      </c>
      <c r="I201" s="499">
        <f>IF('B. Dashboard'!$K$36=1,I169,IF('B. Dashboard'!$K$36=2,I185))</f>
        <v>2</v>
      </c>
      <c r="J201" s="499">
        <f>IF('B. Dashboard'!$K$36=1,J169,IF('B. Dashboard'!$K$36=2,J185))</f>
        <v>0</v>
      </c>
      <c r="K201" s="499">
        <f>IF('B. Dashboard'!$K$36=1,K169,IF('B. Dashboard'!$K$36=2,K185))</f>
        <v>0</v>
      </c>
      <c r="L201" s="499">
        <f>IF('B. Dashboard'!$K$36=1,L169,IF('B. Dashboard'!$K$36=2,L185))</f>
        <v>1</v>
      </c>
      <c r="M201" s="499">
        <f>IF('B. Dashboard'!$K$36=1,M169,IF('B. Dashboard'!$K$36=2,M185))</f>
        <v>1</v>
      </c>
      <c r="N201" s="499">
        <f>IF('B. Dashboard'!$K$36=1,N169,IF('B. Dashboard'!$K$36=2,N185))</f>
        <v>1</v>
      </c>
      <c r="O201" s="8"/>
      <c r="P201" s="8"/>
      <c r="Q201" s="8"/>
      <c r="R201" s="8"/>
      <c r="S201" s="8"/>
      <c r="T201" s="8"/>
      <c r="U201" s="8"/>
    </row>
    <row r="202" spans="1:21" ht="15.75">
      <c r="A202" s="21"/>
      <c r="B202" s="272"/>
      <c r="C202" s="291" t="str">
        <f>'C. Masterfiles'!C93</f>
        <v>S10</v>
      </c>
      <c r="D202" s="291" t="str">
        <f>'C. Masterfiles'!D93</f>
        <v>Calls to directory enquiries, emergency &amp; helpdesk</v>
      </c>
      <c r="E202" s="499">
        <f>IF('B. Dashboard'!$K$36=1,E170,IF('B. Dashboard'!$K$36=2,E186))</f>
        <v>0.5</v>
      </c>
      <c r="F202" s="499">
        <f>IF('B. Dashboard'!$K$36=1,F170,IF('B. Dashboard'!$K$36=2,F186))</f>
        <v>0.5</v>
      </c>
      <c r="G202" s="499">
        <f>IF('B. Dashboard'!$K$36=1,G170,IF('B. Dashboard'!$K$36=2,G186))</f>
        <v>1</v>
      </c>
      <c r="H202" s="499">
        <f>IF('B. Dashboard'!$K$36=1,H170,IF('B. Dashboard'!$K$36=2,H186))</f>
        <v>1</v>
      </c>
      <c r="I202" s="499">
        <f>IF('B. Dashboard'!$K$36=1,I170,IF('B. Dashboard'!$K$36=2,I186))</f>
        <v>0</v>
      </c>
      <c r="J202" s="499">
        <f>IF('B. Dashboard'!$K$36=1,J170,IF('B. Dashboard'!$K$36=2,J186))</f>
        <v>1</v>
      </c>
      <c r="K202" s="499">
        <f>IF('B. Dashboard'!$K$36=1,K170,IF('B. Dashboard'!$K$36=2,K186))</f>
        <v>1</v>
      </c>
      <c r="L202" s="499">
        <f>IF('B. Dashboard'!$K$36=1,L170,IF('B. Dashboard'!$K$36=2,L186))</f>
        <v>0</v>
      </c>
      <c r="M202" s="499">
        <f>IF('B. Dashboard'!$K$36=1,M170,IF('B. Dashboard'!$K$36=2,M186))</f>
        <v>1</v>
      </c>
      <c r="N202" s="499">
        <f>IF('B. Dashboard'!$K$36=1,N170,IF('B. Dashboard'!$K$36=2,N186))</f>
        <v>1</v>
      </c>
      <c r="O202" s="8"/>
      <c r="P202" s="8"/>
      <c r="Q202" s="8"/>
      <c r="R202" s="8"/>
      <c r="S202" s="8"/>
      <c r="T202" s="8"/>
      <c r="U202" s="8"/>
    </row>
    <row r="203" spans="1:21" ht="15.75">
      <c r="A203" s="21"/>
      <c r="B203" s="272"/>
      <c r="C203" s="291" t="str">
        <f>'C. Masterfiles'!C94</f>
        <v>S11</v>
      </c>
      <c r="D203" s="291" t="str">
        <f>'C. Masterfiles'!D94</f>
        <v>Calls to non-geographic numbers</v>
      </c>
      <c r="E203" s="499">
        <f>IF('B. Dashboard'!$K$36=1,E171,IF('B. Dashboard'!$K$36=2,E187))</f>
        <v>0.5</v>
      </c>
      <c r="F203" s="499">
        <f>IF('B. Dashboard'!$K$36=1,F171,IF('B. Dashboard'!$K$36=2,F187))</f>
        <v>0.5</v>
      </c>
      <c r="G203" s="499">
        <f>IF('B. Dashboard'!$K$36=1,G171,IF('B. Dashboard'!$K$36=2,G187))</f>
        <v>1</v>
      </c>
      <c r="H203" s="499">
        <f>IF('B. Dashboard'!$K$36=1,H171,IF('B. Dashboard'!$K$36=2,H187))</f>
        <v>1</v>
      </c>
      <c r="I203" s="499">
        <f>IF('B. Dashboard'!$K$36=1,I171,IF('B. Dashboard'!$K$36=2,I187))</f>
        <v>0</v>
      </c>
      <c r="J203" s="499">
        <f>IF('B. Dashboard'!$K$36=1,J171,IF('B. Dashboard'!$K$36=2,J187))</f>
        <v>1</v>
      </c>
      <c r="K203" s="499">
        <f>IF('B. Dashboard'!$K$36=1,K171,IF('B. Dashboard'!$K$36=2,K187))</f>
        <v>1</v>
      </c>
      <c r="L203" s="499">
        <f>IF('B. Dashboard'!$K$36=1,L171,IF('B. Dashboard'!$K$36=2,L187))</f>
        <v>0</v>
      </c>
      <c r="M203" s="499">
        <f>IF('B. Dashboard'!$K$36=1,M171,IF('B. Dashboard'!$K$36=2,M187))</f>
        <v>1</v>
      </c>
      <c r="N203" s="499">
        <f>IF('B. Dashboard'!$K$36=1,N171,IF('B. Dashboard'!$K$36=2,N187))</f>
        <v>1</v>
      </c>
      <c r="O203" s="8"/>
      <c r="P203" s="8"/>
      <c r="Q203" s="8"/>
      <c r="R203" s="8"/>
      <c r="S203" s="8"/>
      <c r="T203" s="8"/>
      <c r="U203" s="8"/>
    </row>
    <row r="204" spans="1:21" ht="15.75">
      <c r="A204" s="21"/>
      <c r="B204" s="272"/>
      <c r="C204" s="291" t="str">
        <f>'C. Masterfiles'!C95</f>
        <v>S12</v>
      </c>
      <c r="D204" s="291" t="str">
        <f>'C. Masterfiles'!D95</f>
        <v>Internet dial-up calls</v>
      </c>
      <c r="E204" s="499">
        <f>IF('B. Dashboard'!$K$36=1,E172,IF('B. Dashboard'!$K$36=2,E188))</f>
        <v>0.5</v>
      </c>
      <c r="F204" s="499">
        <f>IF('B. Dashboard'!$K$36=1,F172,IF('B. Dashboard'!$K$36=2,F188))</f>
        <v>0.5</v>
      </c>
      <c r="G204" s="499">
        <f>IF('B. Dashboard'!$K$36=1,G172,IF('B. Dashboard'!$K$36=2,G188))</f>
        <v>1</v>
      </c>
      <c r="H204" s="499">
        <f>IF('B. Dashboard'!$K$36=1,H172,IF('B. Dashboard'!$K$36=2,H188))</f>
        <v>1</v>
      </c>
      <c r="I204" s="499">
        <f>IF('B. Dashboard'!$K$36=1,I172,IF('B. Dashboard'!$K$36=2,I188))</f>
        <v>0</v>
      </c>
      <c r="J204" s="499">
        <f>IF('B. Dashboard'!$K$36=1,J172,IF('B. Dashboard'!$K$36=2,J188))</f>
        <v>0</v>
      </c>
      <c r="K204" s="499">
        <f>IF('B. Dashboard'!$K$36=1,K172,IF('B. Dashboard'!$K$36=2,K188))</f>
        <v>1</v>
      </c>
      <c r="L204" s="499">
        <f>IF('B. Dashboard'!$K$36=1,L172,IF('B. Dashboard'!$K$36=2,L188))</f>
        <v>0</v>
      </c>
      <c r="M204" s="499">
        <f>IF('B. Dashboard'!$K$36=1,M172,IF('B. Dashboard'!$K$36=2,M188))</f>
        <v>1</v>
      </c>
      <c r="N204" s="499">
        <f>IF('B. Dashboard'!$K$36=1,N172,IF('B. Dashboard'!$K$36=2,N188))</f>
        <v>1</v>
      </c>
      <c r="O204" s="8"/>
      <c r="P204" s="8"/>
      <c r="Q204" s="8"/>
      <c r="R204" s="8"/>
      <c r="S204" s="8"/>
      <c r="T204" s="8"/>
      <c r="U204" s="8"/>
    </row>
    <row r="205" spans="1:27" ht="15.75">
      <c r="A205" s="21"/>
      <c r="B205" s="272"/>
      <c r="C205" s="29"/>
      <c r="D205" s="45"/>
      <c r="E205" s="50"/>
      <c r="F205" s="50"/>
      <c r="G205" s="50"/>
      <c r="H205" s="50"/>
      <c r="I205" s="50"/>
      <c r="J205" s="50"/>
      <c r="K205" s="50"/>
      <c r="L205" s="50"/>
      <c r="M205" s="5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>
      <c r="A206" s="21"/>
      <c r="B206" s="272"/>
      <c r="C206" s="29"/>
      <c r="D206" s="45"/>
      <c r="E206" s="50"/>
      <c r="F206" s="50"/>
      <c r="G206" s="50"/>
      <c r="H206" s="50"/>
      <c r="I206" s="50"/>
      <c r="J206" s="50"/>
      <c r="K206" s="50"/>
      <c r="L206" s="50"/>
      <c r="M206" s="5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>
      <c r="A207" s="21"/>
      <c r="B207" s="272">
        <f>B157+0.01</f>
        <v>3.049999999999999</v>
      </c>
      <c r="C207" s="29" t="s">
        <v>958</v>
      </c>
      <c r="D207" s="45"/>
      <c r="E207" s="50"/>
      <c r="F207" s="50"/>
      <c r="G207" s="50"/>
      <c r="H207" s="50"/>
      <c r="I207" s="50"/>
      <c r="J207" s="50"/>
      <c r="K207" s="50"/>
      <c r="L207" s="50"/>
      <c r="M207" s="5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>
      <c r="A208" s="21"/>
      <c r="B208" s="272"/>
      <c r="C208" s="29"/>
      <c r="D208" s="45"/>
      <c r="E208" s="50"/>
      <c r="F208" s="50"/>
      <c r="G208" s="50"/>
      <c r="H208" s="50"/>
      <c r="I208" s="50"/>
      <c r="J208" s="50"/>
      <c r="K208" s="50"/>
      <c r="L208" s="50"/>
      <c r="M208" s="5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>
      <c r="A209" s="21"/>
      <c r="B209" s="272"/>
      <c r="C209" s="29" t="s">
        <v>96</v>
      </c>
      <c r="D209" s="45"/>
      <c r="E209" s="549" t="s">
        <v>270</v>
      </c>
      <c r="F209" s="50"/>
      <c r="G209" s="50"/>
      <c r="H209" s="50"/>
      <c r="I209" s="50"/>
      <c r="J209" s="50"/>
      <c r="K209" s="50"/>
      <c r="L209" s="50"/>
      <c r="M209" s="5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0" s="126" customFormat="1" ht="15.75">
      <c r="A210" s="21"/>
      <c r="B210" s="369"/>
      <c r="C210" s="349" t="s">
        <v>634</v>
      </c>
      <c r="D210" s="370" t="s">
        <v>686</v>
      </c>
      <c r="E210" s="367" t="str">
        <f aca="true" t="shared" si="14" ref="E210:K210">E241</f>
        <v>Rau-TS</v>
      </c>
      <c r="F210" s="367" t="str">
        <f t="shared" si="14"/>
        <v>LS-TS</v>
      </c>
      <c r="G210" s="367" t="str">
        <f t="shared" si="14"/>
        <v>TS-TS</v>
      </c>
      <c r="H210" s="367" t="str">
        <f t="shared" si="14"/>
        <v>TS-ISC</v>
      </c>
      <c r="I210" s="367" t="str">
        <f t="shared" si="14"/>
        <v>ISC-ISC</v>
      </c>
      <c r="J210" s="367" t="str">
        <f t="shared" si="14"/>
        <v>ISC-IN</v>
      </c>
      <c r="K210" s="367" t="str">
        <f t="shared" si="14"/>
        <v>TS-IN</v>
      </c>
      <c r="L210" s="367" t="str">
        <f>L241</f>
        <v>TS-IGW</v>
      </c>
      <c r="M210" s="367" t="str">
        <f>M241</f>
        <v>LS-LS</v>
      </c>
      <c r="N210" s="8"/>
      <c r="O210" s="8"/>
      <c r="P210" s="8"/>
      <c r="Q210" s="8"/>
      <c r="R210" s="8"/>
      <c r="S210" s="8"/>
      <c r="T210" s="8"/>
    </row>
    <row r="211" spans="1:20" ht="15.75">
      <c r="A211" s="21"/>
      <c r="B211" s="272"/>
      <c r="C211" s="291" t="str">
        <f aca="true" t="shared" si="15" ref="C211:D222">C242</f>
        <v>S01</v>
      </c>
      <c r="D211" s="291" t="str">
        <f t="shared" si="15"/>
        <v>On-net local calls</v>
      </c>
      <c r="E211" s="541">
        <v>1</v>
      </c>
      <c r="F211" s="541">
        <v>1</v>
      </c>
      <c r="G211" s="372">
        <v>0.35</v>
      </c>
      <c r="H211" s="372">
        <v>0.2</v>
      </c>
      <c r="I211" s="372"/>
      <c r="J211" s="372"/>
      <c r="K211" s="372"/>
      <c r="L211" s="372"/>
      <c r="M211" s="372">
        <v>0.05</v>
      </c>
      <c r="N211" s="8"/>
      <c r="O211" s="8"/>
      <c r="P211" s="8"/>
      <c r="Q211" s="8"/>
      <c r="R211" s="8"/>
      <c r="S211" s="8"/>
      <c r="T211" s="8"/>
    </row>
    <row r="212" spans="1:20" ht="15.75">
      <c r="A212" s="21"/>
      <c r="B212" s="272"/>
      <c r="C212" s="291" t="str">
        <f t="shared" si="15"/>
        <v>S02</v>
      </c>
      <c r="D212" s="291" t="str">
        <f t="shared" si="15"/>
        <v>On-net national calls</v>
      </c>
      <c r="E212" s="541">
        <v>0.5</v>
      </c>
      <c r="F212" s="541">
        <v>0.5</v>
      </c>
      <c r="G212" s="372"/>
      <c r="H212" s="372">
        <v>2</v>
      </c>
      <c r="I212" s="372">
        <v>0.2</v>
      </c>
      <c r="J212" s="372"/>
      <c r="K212" s="372"/>
      <c r="L212" s="372"/>
      <c r="M212" s="372"/>
      <c r="N212" s="8"/>
      <c r="O212" s="8"/>
      <c r="P212" s="8"/>
      <c r="Q212" s="8"/>
      <c r="R212" s="8"/>
      <c r="S212" s="8"/>
      <c r="T212" s="8"/>
    </row>
    <row r="213" spans="1:20" ht="15.75">
      <c r="A213" s="21"/>
      <c r="B213" s="272"/>
      <c r="C213" s="291" t="str">
        <f t="shared" si="15"/>
        <v>S03</v>
      </c>
      <c r="D213" s="291" t="str">
        <f t="shared" si="15"/>
        <v>Originating calls (local)</v>
      </c>
      <c r="E213" s="541">
        <v>0.5</v>
      </c>
      <c r="F213" s="541">
        <v>0.5</v>
      </c>
      <c r="G213" s="372"/>
      <c r="H213" s="372"/>
      <c r="I213" s="372"/>
      <c r="J213" s="372"/>
      <c r="K213" s="372"/>
      <c r="L213" s="372">
        <v>1</v>
      </c>
      <c r="M213" s="372"/>
      <c r="N213" s="8"/>
      <c r="O213" s="8"/>
      <c r="P213" s="8"/>
      <c r="Q213" s="8"/>
      <c r="R213" s="8"/>
      <c r="S213" s="8"/>
      <c r="T213" s="8"/>
    </row>
    <row r="214" spans="1:20" ht="15.75">
      <c r="A214" s="21"/>
      <c r="B214" s="272"/>
      <c r="C214" s="291" t="str">
        <f t="shared" si="15"/>
        <v>S04</v>
      </c>
      <c r="D214" s="291" t="str">
        <f t="shared" si="15"/>
        <v>Originating calls (national) </v>
      </c>
      <c r="E214" s="541">
        <v>0.5</v>
      </c>
      <c r="F214" s="541">
        <v>0.5</v>
      </c>
      <c r="G214" s="372"/>
      <c r="H214" s="372">
        <v>1</v>
      </c>
      <c r="I214" s="372"/>
      <c r="J214" s="372"/>
      <c r="K214" s="372"/>
      <c r="L214" s="372"/>
      <c r="M214" s="372"/>
      <c r="N214" s="8"/>
      <c r="O214" s="8"/>
      <c r="P214" s="8"/>
      <c r="Q214" s="8"/>
      <c r="R214" s="8"/>
      <c r="S214" s="8"/>
      <c r="T214" s="8"/>
    </row>
    <row r="215" spans="1:20" ht="15.75">
      <c r="A215" s="21"/>
      <c r="B215" s="272"/>
      <c r="C215" s="291" t="str">
        <f t="shared" si="15"/>
        <v>S05</v>
      </c>
      <c r="D215" s="291" t="str">
        <f t="shared" si="15"/>
        <v>Originating calls (international)</v>
      </c>
      <c r="E215" s="541">
        <v>0.5</v>
      </c>
      <c r="F215" s="541">
        <v>0.5</v>
      </c>
      <c r="G215" s="372"/>
      <c r="H215" s="372">
        <v>1</v>
      </c>
      <c r="I215" s="372"/>
      <c r="J215" s="372"/>
      <c r="K215" s="372"/>
      <c r="L215" s="372"/>
      <c r="M215" s="372"/>
      <c r="N215" s="8"/>
      <c r="O215" s="8"/>
      <c r="P215" s="8"/>
      <c r="Q215" s="8"/>
      <c r="R215" s="8"/>
      <c r="S215" s="8"/>
      <c r="T215" s="8"/>
    </row>
    <row r="216" spans="1:20" ht="15.75">
      <c r="A216" s="21"/>
      <c r="B216" s="272"/>
      <c r="C216" s="291" t="str">
        <f t="shared" si="15"/>
        <v>S06</v>
      </c>
      <c r="D216" s="291" t="str">
        <f t="shared" si="15"/>
        <v>Terminating calls (local)</v>
      </c>
      <c r="E216" s="541">
        <v>0.5</v>
      </c>
      <c r="F216" s="541">
        <v>0.5</v>
      </c>
      <c r="G216" s="372"/>
      <c r="H216" s="372"/>
      <c r="I216" s="372"/>
      <c r="J216" s="372"/>
      <c r="K216" s="372"/>
      <c r="L216" s="372">
        <v>1</v>
      </c>
      <c r="M216" s="372"/>
      <c r="N216" s="8"/>
      <c r="O216" s="8"/>
      <c r="P216" s="8"/>
      <c r="Q216" s="8"/>
      <c r="R216" s="8"/>
      <c r="S216" s="8"/>
      <c r="T216" s="8"/>
    </row>
    <row r="217" spans="1:20" ht="15.75">
      <c r="A217" s="21"/>
      <c r="B217" s="272"/>
      <c r="C217" s="291" t="str">
        <f t="shared" si="15"/>
        <v>S07</v>
      </c>
      <c r="D217" s="291" t="str">
        <f t="shared" si="15"/>
        <v>Terminating calls (national) </v>
      </c>
      <c r="E217" s="541">
        <v>0.5</v>
      </c>
      <c r="F217" s="541">
        <v>0.5</v>
      </c>
      <c r="G217" s="372"/>
      <c r="H217" s="372">
        <v>1</v>
      </c>
      <c r="I217" s="372"/>
      <c r="J217" s="372"/>
      <c r="K217" s="372"/>
      <c r="L217" s="372"/>
      <c r="M217" s="372"/>
      <c r="N217" s="8"/>
      <c r="O217" s="8"/>
      <c r="P217" s="8"/>
      <c r="Q217" s="8"/>
      <c r="R217" s="8"/>
      <c r="S217" s="8"/>
      <c r="T217" s="8"/>
    </row>
    <row r="218" spans="1:20" ht="15.75">
      <c r="A218" s="21"/>
      <c r="B218" s="272"/>
      <c r="C218" s="291" t="str">
        <f t="shared" si="15"/>
        <v>S08</v>
      </c>
      <c r="D218" s="291" t="str">
        <f t="shared" si="15"/>
        <v>Terminating calls (international)</v>
      </c>
      <c r="E218" s="541">
        <v>0.5</v>
      </c>
      <c r="F218" s="541">
        <v>0.5</v>
      </c>
      <c r="G218" s="372"/>
      <c r="H218" s="372">
        <v>1</v>
      </c>
      <c r="I218" s="372"/>
      <c r="J218" s="372"/>
      <c r="K218" s="372"/>
      <c r="L218" s="372"/>
      <c r="M218" s="372"/>
      <c r="N218" s="8"/>
      <c r="O218" s="8"/>
      <c r="P218" s="8"/>
      <c r="Q218" s="8"/>
      <c r="R218" s="8"/>
      <c r="S218" s="8"/>
      <c r="T218" s="8"/>
    </row>
    <row r="219" spans="1:20" ht="15.75">
      <c r="A219" s="21"/>
      <c r="B219" s="272"/>
      <c r="C219" s="291" t="str">
        <f t="shared" si="15"/>
        <v>S09</v>
      </c>
      <c r="D219" s="291" t="str">
        <f t="shared" si="15"/>
        <v>Transit calls</v>
      </c>
      <c r="E219" s="541"/>
      <c r="F219" s="541"/>
      <c r="G219" s="372"/>
      <c r="H219" s="372">
        <v>1</v>
      </c>
      <c r="I219" s="372">
        <v>1</v>
      </c>
      <c r="J219" s="372"/>
      <c r="K219" s="372"/>
      <c r="L219" s="372">
        <v>1</v>
      </c>
      <c r="M219" s="372"/>
      <c r="N219" s="8"/>
      <c r="O219" s="8"/>
      <c r="P219" s="8"/>
      <c r="Q219" s="8"/>
      <c r="R219" s="8"/>
      <c r="S219" s="8"/>
      <c r="T219" s="8"/>
    </row>
    <row r="220" spans="1:20" ht="15.75">
      <c r="A220" s="21"/>
      <c r="B220" s="272"/>
      <c r="C220" s="291" t="str">
        <f t="shared" si="15"/>
        <v>S10</v>
      </c>
      <c r="D220" s="291" t="str">
        <f t="shared" si="15"/>
        <v>Calls to directory enquiries, emergency &amp; helpdesk</v>
      </c>
      <c r="E220" s="541">
        <v>0.5</v>
      </c>
      <c r="F220" s="541">
        <v>0.5</v>
      </c>
      <c r="G220" s="372"/>
      <c r="H220" s="372">
        <v>1</v>
      </c>
      <c r="I220" s="372"/>
      <c r="J220" s="372">
        <v>0.5</v>
      </c>
      <c r="K220" s="372">
        <v>1.5</v>
      </c>
      <c r="L220" s="372"/>
      <c r="M220" s="372"/>
      <c r="N220" s="8"/>
      <c r="O220" s="8"/>
      <c r="P220" s="8"/>
      <c r="Q220" s="8"/>
      <c r="R220" s="8"/>
      <c r="S220" s="8"/>
      <c r="T220" s="8"/>
    </row>
    <row r="221" spans="1:20" ht="15.75">
      <c r="A221" s="21"/>
      <c r="B221" s="272"/>
      <c r="C221" s="291" t="str">
        <f t="shared" si="15"/>
        <v>S11</v>
      </c>
      <c r="D221" s="291" t="str">
        <f t="shared" si="15"/>
        <v>Calls to non-geographic numbers</v>
      </c>
      <c r="E221" s="541">
        <v>0.5</v>
      </c>
      <c r="F221" s="541">
        <v>0.5</v>
      </c>
      <c r="G221" s="372"/>
      <c r="H221" s="372">
        <v>1</v>
      </c>
      <c r="I221" s="372"/>
      <c r="J221" s="372">
        <v>0.5</v>
      </c>
      <c r="K221" s="372">
        <v>1.5</v>
      </c>
      <c r="L221" s="372"/>
      <c r="M221" s="372"/>
      <c r="N221" s="8"/>
      <c r="O221" s="8"/>
      <c r="P221" s="8"/>
      <c r="Q221" s="8"/>
      <c r="R221" s="8"/>
      <c r="S221" s="8"/>
      <c r="T221" s="8"/>
    </row>
    <row r="222" spans="1:20" ht="15.75">
      <c r="A222" s="21"/>
      <c r="B222" s="272"/>
      <c r="C222" s="291" t="str">
        <f t="shared" si="15"/>
        <v>S12</v>
      </c>
      <c r="D222" s="291" t="str">
        <f t="shared" si="15"/>
        <v>Internet dial-up calls</v>
      </c>
      <c r="E222" s="541">
        <v>0.5</v>
      </c>
      <c r="F222" s="541">
        <v>0.5</v>
      </c>
      <c r="G222" s="372"/>
      <c r="H222" s="372">
        <v>1</v>
      </c>
      <c r="I222" s="372"/>
      <c r="J222" s="372"/>
      <c r="K222" s="372"/>
      <c r="L222" s="372"/>
      <c r="M222" s="372"/>
      <c r="N222" s="8"/>
      <c r="O222" s="8"/>
      <c r="P222" s="8"/>
      <c r="Q222" s="8"/>
      <c r="R222" s="8"/>
      <c r="S222" s="8"/>
      <c r="T222" s="8"/>
    </row>
    <row r="223" spans="1:20" ht="15.75">
      <c r="A223" s="21"/>
      <c r="B223" s="272"/>
      <c r="C223" s="29"/>
      <c r="D223" s="45"/>
      <c r="E223" s="50"/>
      <c r="F223" s="50"/>
      <c r="G223" s="50"/>
      <c r="H223" s="50"/>
      <c r="I223" s="50"/>
      <c r="J223" s="50"/>
      <c r="K223" s="50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5.75">
      <c r="A224" s="21"/>
      <c r="B224" s="272"/>
      <c r="C224" s="29" t="s">
        <v>851</v>
      </c>
      <c r="D224" s="45"/>
      <c r="E224" s="45"/>
      <c r="F224" s="45"/>
      <c r="G224" s="45"/>
      <c r="H224" s="45"/>
      <c r="I224" s="45"/>
      <c r="J224" s="45"/>
      <c r="K224" s="45"/>
      <c r="L224" s="8"/>
      <c r="M224" s="8"/>
      <c r="N224" s="8"/>
      <c r="O224" s="8"/>
      <c r="P224" s="8"/>
      <c r="Q224" s="8"/>
      <c r="R224" s="8"/>
      <c r="S224" s="8"/>
      <c r="T224" s="8"/>
    </row>
    <row r="225" spans="1:20" s="126" customFormat="1" ht="15.75">
      <c r="A225" s="21"/>
      <c r="B225" s="369"/>
      <c r="C225" s="349" t="s">
        <v>634</v>
      </c>
      <c r="D225" s="370" t="s">
        <v>686</v>
      </c>
      <c r="E225" s="367" t="str">
        <f>E210</f>
        <v>Rau-TS</v>
      </c>
      <c r="F225" s="367" t="str">
        <f aca="true" t="shared" si="16" ref="F225:K225">F210</f>
        <v>LS-TS</v>
      </c>
      <c r="G225" s="367" t="str">
        <f t="shared" si="16"/>
        <v>TS-TS</v>
      </c>
      <c r="H225" s="367" t="str">
        <f t="shared" si="16"/>
        <v>TS-ISC</v>
      </c>
      <c r="I225" s="367" t="str">
        <f t="shared" si="16"/>
        <v>ISC-ISC</v>
      </c>
      <c r="J225" s="367" t="str">
        <f t="shared" si="16"/>
        <v>ISC-IN</v>
      </c>
      <c r="K225" s="367" t="str">
        <f t="shared" si="16"/>
        <v>TS-IN</v>
      </c>
      <c r="L225" s="367" t="str">
        <f>L210</f>
        <v>TS-IGW</v>
      </c>
      <c r="M225" s="367" t="str">
        <f>M210</f>
        <v>LS-LS</v>
      </c>
      <c r="N225" s="8"/>
      <c r="O225" s="8"/>
      <c r="P225" s="8"/>
      <c r="Q225" s="8"/>
      <c r="R225" s="8"/>
      <c r="S225" s="371"/>
      <c r="T225" s="371"/>
    </row>
    <row r="226" spans="1:20" ht="15.75">
      <c r="A226" s="21"/>
      <c r="B226" s="272"/>
      <c r="C226" s="291" t="str">
        <f aca="true" t="shared" si="17" ref="C226:D237">C211</f>
        <v>S01</v>
      </c>
      <c r="D226" s="291" t="str">
        <f t="shared" si="17"/>
        <v>On-net local calls</v>
      </c>
      <c r="E226" s="541">
        <v>1</v>
      </c>
      <c r="F226" s="541">
        <v>1</v>
      </c>
      <c r="G226" s="372">
        <v>0.35</v>
      </c>
      <c r="H226" s="372">
        <v>0.2</v>
      </c>
      <c r="I226" s="372"/>
      <c r="J226" s="372"/>
      <c r="K226" s="372"/>
      <c r="L226" s="372"/>
      <c r="M226" s="372">
        <v>0.05</v>
      </c>
      <c r="N226" s="8"/>
      <c r="O226" s="8"/>
      <c r="P226" s="8"/>
      <c r="Q226" s="8"/>
      <c r="R226" s="8"/>
      <c r="S226" s="8"/>
      <c r="T226" s="8"/>
    </row>
    <row r="227" spans="1:20" ht="15.75">
      <c r="A227" s="21"/>
      <c r="B227" s="272"/>
      <c r="C227" s="291" t="str">
        <f t="shared" si="17"/>
        <v>S02</v>
      </c>
      <c r="D227" s="291" t="str">
        <f t="shared" si="17"/>
        <v>On-net national calls</v>
      </c>
      <c r="E227" s="541">
        <v>0.5</v>
      </c>
      <c r="F227" s="541">
        <v>0.5</v>
      </c>
      <c r="G227" s="372"/>
      <c r="H227" s="372">
        <v>2</v>
      </c>
      <c r="I227" s="372">
        <v>0.2</v>
      </c>
      <c r="J227" s="372"/>
      <c r="K227" s="372"/>
      <c r="L227" s="372"/>
      <c r="M227" s="372"/>
      <c r="N227" s="8"/>
      <c r="O227" s="8"/>
      <c r="P227" s="8"/>
      <c r="Q227" s="8"/>
      <c r="R227" s="8"/>
      <c r="S227" s="8"/>
      <c r="T227" s="8"/>
    </row>
    <row r="228" spans="1:20" ht="15.75">
      <c r="A228" s="21"/>
      <c r="B228" s="272"/>
      <c r="C228" s="291" t="str">
        <f t="shared" si="17"/>
        <v>S03</v>
      </c>
      <c r="D228" s="291" t="str">
        <f t="shared" si="17"/>
        <v>Originating calls (local)</v>
      </c>
      <c r="E228" s="541">
        <v>0.5</v>
      </c>
      <c r="F228" s="541">
        <v>0.5</v>
      </c>
      <c r="G228" s="372"/>
      <c r="H228" s="372"/>
      <c r="I228" s="372"/>
      <c r="J228" s="372"/>
      <c r="K228" s="372"/>
      <c r="L228" s="372">
        <v>1</v>
      </c>
      <c r="M228" s="372"/>
      <c r="N228" s="8"/>
      <c r="O228" s="8"/>
      <c r="P228" s="8"/>
      <c r="Q228" s="8"/>
      <c r="R228" s="8"/>
      <c r="S228" s="8"/>
      <c r="T228" s="8"/>
    </row>
    <row r="229" spans="1:20" ht="15.75">
      <c r="A229" s="21"/>
      <c r="B229" s="272"/>
      <c r="C229" s="291" t="str">
        <f t="shared" si="17"/>
        <v>S04</v>
      </c>
      <c r="D229" s="291" t="str">
        <f t="shared" si="17"/>
        <v>Originating calls (national) </v>
      </c>
      <c r="E229" s="541">
        <v>0.5</v>
      </c>
      <c r="F229" s="541">
        <v>0.5</v>
      </c>
      <c r="G229" s="372"/>
      <c r="H229" s="372">
        <v>1</v>
      </c>
      <c r="I229" s="372"/>
      <c r="J229" s="372"/>
      <c r="K229" s="372"/>
      <c r="L229" s="372"/>
      <c r="M229" s="372"/>
      <c r="N229" s="8"/>
      <c r="O229" s="8"/>
      <c r="P229" s="8"/>
      <c r="Q229" s="8"/>
      <c r="R229" s="8"/>
      <c r="S229" s="8"/>
      <c r="T229" s="8"/>
    </row>
    <row r="230" spans="1:20" ht="15.75">
      <c r="A230" s="21"/>
      <c r="B230" s="272"/>
      <c r="C230" s="291" t="str">
        <f t="shared" si="17"/>
        <v>S05</v>
      </c>
      <c r="D230" s="291" t="str">
        <f t="shared" si="17"/>
        <v>Originating calls (international)</v>
      </c>
      <c r="E230" s="541">
        <v>0.5</v>
      </c>
      <c r="F230" s="541">
        <v>0.5</v>
      </c>
      <c r="G230" s="372"/>
      <c r="H230" s="372">
        <v>1</v>
      </c>
      <c r="I230" s="372"/>
      <c r="J230" s="372"/>
      <c r="K230" s="372"/>
      <c r="L230" s="372"/>
      <c r="M230" s="372"/>
      <c r="N230" s="8"/>
      <c r="O230" s="8"/>
      <c r="P230" s="8"/>
      <c r="Q230" s="8"/>
      <c r="R230" s="8"/>
      <c r="S230" s="8"/>
      <c r="T230" s="8"/>
    </row>
    <row r="231" spans="1:20" ht="15.75">
      <c r="A231" s="21"/>
      <c r="B231" s="272"/>
      <c r="C231" s="291" t="str">
        <f t="shared" si="17"/>
        <v>S06</v>
      </c>
      <c r="D231" s="291" t="str">
        <f t="shared" si="17"/>
        <v>Terminating calls (local)</v>
      </c>
      <c r="E231" s="541">
        <v>0.5</v>
      </c>
      <c r="F231" s="541">
        <v>0.5</v>
      </c>
      <c r="G231" s="372"/>
      <c r="H231" s="372"/>
      <c r="I231" s="372"/>
      <c r="J231" s="372"/>
      <c r="K231" s="372"/>
      <c r="L231" s="372">
        <v>1</v>
      </c>
      <c r="M231" s="372"/>
      <c r="N231" s="8"/>
      <c r="O231" s="8"/>
      <c r="P231" s="8"/>
      <c r="Q231" s="8"/>
      <c r="R231" s="8"/>
      <c r="S231" s="8"/>
      <c r="T231" s="8"/>
    </row>
    <row r="232" spans="1:20" ht="15.75">
      <c r="A232" s="21"/>
      <c r="B232" s="272"/>
      <c r="C232" s="291" t="str">
        <f t="shared" si="17"/>
        <v>S07</v>
      </c>
      <c r="D232" s="291" t="str">
        <f t="shared" si="17"/>
        <v>Terminating calls (national) </v>
      </c>
      <c r="E232" s="541">
        <v>0.5</v>
      </c>
      <c r="F232" s="541">
        <v>0.5</v>
      </c>
      <c r="G232" s="372"/>
      <c r="H232" s="372">
        <v>1</v>
      </c>
      <c r="I232" s="372"/>
      <c r="J232" s="372"/>
      <c r="K232" s="372"/>
      <c r="L232" s="372"/>
      <c r="M232" s="372"/>
      <c r="N232" s="8"/>
      <c r="O232" s="8"/>
      <c r="P232" s="8"/>
      <c r="Q232" s="8"/>
      <c r="R232" s="8"/>
      <c r="S232" s="8"/>
      <c r="T232" s="8"/>
    </row>
    <row r="233" spans="1:20" ht="15.75">
      <c r="A233" s="21"/>
      <c r="B233" s="272"/>
      <c r="C233" s="291" t="str">
        <f t="shared" si="17"/>
        <v>S08</v>
      </c>
      <c r="D233" s="291" t="str">
        <f t="shared" si="17"/>
        <v>Terminating calls (international)</v>
      </c>
      <c r="E233" s="541">
        <v>0.5</v>
      </c>
      <c r="F233" s="541">
        <v>0.5</v>
      </c>
      <c r="G233" s="372"/>
      <c r="H233" s="372">
        <v>1</v>
      </c>
      <c r="I233" s="372"/>
      <c r="J233" s="372"/>
      <c r="K233" s="372"/>
      <c r="L233" s="372"/>
      <c r="M233" s="372"/>
      <c r="N233" s="8"/>
      <c r="O233" s="8"/>
      <c r="P233" s="8"/>
      <c r="Q233" s="8"/>
      <c r="R233" s="8"/>
      <c r="S233" s="8"/>
      <c r="T233" s="8"/>
    </row>
    <row r="234" spans="1:20" ht="15.75">
      <c r="A234" s="21"/>
      <c r="B234" s="272"/>
      <c r="C234" s="291" t="str">
        <f t="shared" si="17"/>
        <v>S09</v>
      </c>
      <c r="D234" s="291" t="str">
        <f t="shared" si="17"/>
        <v>Transit calls</v>
      </c>
      <c r="E234" s="541"/>
      <c r="F234" s="541"/>
      <c r="G234" s="372"/>
      <c r="H234" s="372">
        <v>1</v>
      </c>
      <c r="I234" s="372">
        <v>1</v>
      </c>
      <c r="J234" s="372"/>
      <c r="K234" s="372"/>
      <c r="L234" s="372">
        <v>1</v>
      </c>
      <c r="M234" s="372"/>
      <c r="N234" s="8"/>
      <c r="O234" s="8"/>
      <c r="P234" s="8"/>
      <c r="Q234" s="8"/>
      <c r="R234" s="8"/>
      <c r="S234" s="8"/>
      <c r="T234" s="8"/>
    </row>
    <row r="235" spans="1:20" ht="15.75">
      <c r="A235" s="21"/>
      <c r="B235" s="272"/>
      <c r="C235" s="291" t="str">
        <f t="shared" si="17"/>
        <v>S10</v>
      </c>
      <c r="D235" s="291" t="str">
        <f t="shared" si="17"/>
        <v>Calls to directory enquiries, emergency &amp; helpdesk</v>
      </c>
      <c r="E235" s="541">
        <v>0.5</v>
      </c>
      <c r="F235" s="541">
        <v>0.5</v>
      </c>
      <c r="G235" s="372"/>
      <c r="H235" s="372">
        <v>1</v>
      </c>
      <c r="I235" s="372"/>
      <c r="J235" s="372">
        <v>0.5</v>
      </c>
      <c r="K235" s="372">
        <v>1.5</v>
      </c>
      <c r="L235" s="372"/>
      <c r="M235" s="372"/>
      <c r="N235" s="8"/>
      <c r="O235" s="8"/>
      <c r="P235" s="8"/>
      <c r="Q235" s="8"/>
      <c r="R235" s="8"/>
      <c r="S235" s="8"/>
      <c r="T235" s="8"/>
    </row>
    <row r="236" spans="1:20" ht="15.75">
      <c r="A236" s="21"/>
      <c r="B236" s="272"/>
      <c r="C236" s="291" t="str">
        <f t="shared" si="17"/>
        <v>S11</v>
      </c>
      <c r="D236" s="291" t="str">
        <f t="shared" si="17"/>
        <v>Calls to non-geographic numbers</v>
      </c>
      <c r="E236" s="541">
        <v>0.5</v>
      </c>
      <c r="F236" s="541">
        <v>0.5</v>
      </c>
      <c r="G236" s="372"/>
      <c r="H236" s="372">
        <v>1</v>
      </c>
      <c r="I236" s="372"/>
      <c r="J236" s="372">
        <v>0.5</v>
      </c>
      <c r="K236" s="372">
        <v>1.5</v>
      </c>
      <c r="L236" s="372"/>
      <c r="M236" s="372"/>
      <c r="N236" s="8"/>
      <c r="O236" s="8"/>
      <c r="P236" s="8"/>
      <c r="Q236" s="8"/>
      <c r="R236" s="8"/>
      <c r="S236" s="8"/>
      <c r="T236" s="8"/>
    </row>
    <row r="237" spans="1:20" ht="15.75">
      <c r="A237" s="21"/>
      <c r="B237" s="272"/>
      <c r="C237" s="291" t="str">
        <f t="shared" si="17"/>
        <v>S12</v>
      </c>
      <c r="D237" s="291" t="str">
        <f t="shared" si="17"/>
        <v>Internet dial-up calls</v>
      </c>
      <c r="E237" s="541">
        <v>0.5</v>
      </c>
      <c r="F237" s="541">
        <v>0.5</v>
      </c>
      <c r="G237" s="372"/>
      <c r="H237" s="372">
        <v>1</v>
      </c>
      <c r="I237" s="372"/>
      <c r="J237" s="372"/>
      <c r="K237" s="372"/>
      <c r="L237" s="372"/>
      <c r="M237" s="372"/>
      <c r="N237" s="8"/>
      <c r="O237" s="8"/>
      <c r="P237" s="8"/>
      <c r="Q237" s="8"/>
      <c r="R237" s="8"/>
      <c r="S237" s="8"/>
      <c r="T237" s="8"/>
    </row>
    <row r="238" spans="1:23" ht="15.75">
      <c r="A238" s="21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</row>
    <row r="239" spans="1:20" ht="15.75">
      <c r="A239" s="21"/>
      <c r="B239" s="272"/>
      <c r="C239" s="29"/>
      <c r="D239" s="45"/>
      <c r="E239" s="50"/>
      <c r="F239" s="50"/>
      <c r="G239" s="50"/>
      <c r="H239" s="50"/>
      <c r="I239" s="50"/>
      <c r="J239" s="50"/>
      <c r="K239" s="50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5.75">
      <c r="A240" s="21"/>
      <c r="B240" s="272"/>
      <c r="C240" s="29" t="s">
        <v>957</v>
      </c>
      <c r="D240" s="45"/>
      <c r="E240" s="50"/>
      <c r="F240" s="50"/>
      <c r="G240" s="50"/>
      <c r="H240" s="50"/>
      <c r="I240" s="50"/>
      <c r="J240" s="50"/>
      <c r="K240" s="50"/>
      <c r="L240" s="8"/>
      <c r="M240" s="8"/>
      <c r="N240" s="8"/>
      <c r="O240" s="8"/>
      <c r="P240" s="8"/>
      <c r="Q240" s="8"/>
      <c r="R240" s="8"/>
      <c r="S240" s="8"/>
      <c r="T240" s="8"/>
    </row>
    <row r="241" spans="1:20" s="126" customFormat="1" ht="15.75">
      <c r="A241" s="21"/>
      <c r="B241" s="369"/>
      <c r="C241" s="349" t="s">
        <v>634</v>
      </c>
      <c r="D241" s="370" t="s">
        <v>686</v>
      </c>
      <c r="E241" s="367" t="str">
        <f>'C. Masterfiles'!D69</f>
        <v>Rau-TS</v>
      </c>
      <c r="F241" s="367" t="str">
        <f>'C. Masterfiles'!D70</f>
        <v>LS-TS</v>
      </c>
      <c r="G241" s="367" t="str">
        <f>'C. Masterfiles'!D71</f>
        <v>TS-TS</v>
      </c>
      <c r="H241" s="367" t="str">
        <f>'C. Masterfiles'!D72</f>
        <v>TS-ISC</v>
      </c>
      <c r="I241" s="367" t="str">
        <f>'C. Masterfiles'!D73</f>
        <v>ISC-ISC</v>
      </c>
      <c r="J241" s="367" t="str">
        <f>'C. Masterfiles'!D74</f>
        <v>ISC-IN</v>
      </c>
      <c r="K241" s="367" t="str">
        <f>'C. Masterfiles'!D75</f>
        <v>TS-IN</v>
      </c>
      <c r="L241" s="367" t="str">
        <f>'C. Masterfiles'!D76</f>
        <v>TS-IGW</v>
      </c>
      <c r="M241" s="367" t="str">
        <f>'C. Masterfiles'!D77</f>
        <v>LS-LS</v>
      </c>
      <c r="N241" s="8"/>
      <c r="O241" s="8"/>
      <c r="P241" s="8"/>
      <c r="Q241" s="8"/>
      <c r="R241" s="8"/>
      <c r="S241" s="371"/>
      <c r="T241" s="371"/>
    </row>
    <row r="242" spans="1:20" ht="15.75">
      <c r="A242" s="21"/>
      <c r="B242" s="272"/>
      <c r="C242" s="291" t="str">
        <f>'C. Masterfiles'!C84</f>
        <v>S01</v>
      </c>
      <c r="D242" s="291" t="str">
        <f>'C. Masterfiles'!D84</f>
        <v>On-net local calls</v>
      </c>
      <c r="E242" s="499">
        <f>IF('B. Dashboard'!$K$36=1,E211,IF('B. Dashboard'!$K$36=2,E226))</f>
        <v>1</v>
      </c>
      <c r="F242" s="499">
        <f>IF('B. Dashboard'!$K$36=1,F211,IF('B. Dashboard'!$K$36=2,F226))</f>
        <v>1</v>
      </c>
      <c r="G242" s="499">
        <f>IF('B. Dashboard'!$K$36=1,G211,IF('B. Dashboard'!$K$36=2,G226))</f>
        <v>0.35</v>
      </c>
      <c r="H242" s="499">
        <f>IF('B. Dashboard'!$K$36=1,H211,IF('B. Dashboard'!$K$36=2,H226))</f>
        <v>0.2</v>
      </c>
      <c r="I242" s="499">
        <f>IF('B. Dashboard'!$K$36=1,I211,IF('B. Dashboard'!$K$36=2,I226))</f>
        <v>0</v>
      </c>
      <c r="J242" s="499">
        <f>IF('B. Dashboard'!$K$36=1,J211,IF('B. Dashboard'!$K$36=2,J226))</f>
        <v>0</v>
      </c>
      <c r="K242" s="499">
        <f>IF('B. Dashboard'!$K$36=1,K211,IF('B. Dashboard'!$K$36=2,K226))</f>
        <v>0</v>
      </c>
      <c r="L242" s="499">
        <f>IF('B. Dashboard'!$K$36=1,L211,IF('B. Dashboard'!$K$36=2,L226))</f>
        <v>0</v>
      </c>
      <c r="M242" s="499">
        <f>IF('B. Dashboard'!$K$36=1,M211,IF('B. Dashboard'!$K$36=2,M226))</f>
        <v>0.05</v>
      </c>
      <c r="N242" s="8"/>
      <c r="O242" s="8"/>
      <c r="P242" s="8"/>
      <c r="Q242" s="8"/>
      <c r="R242" s="8"/>
      <c r="S242" s="8"/>
      <c r="T242" s="8"/>
    </row>
    <row r="243" spans="1:20" ht="15.75">
      <c r="A243" s="21"/>
      <c r="B243" s="272"/>
      <c r="C243" s="291" t="str">
        <f>'C. Masterfiles'!C85</f>
        <v>S02</v>
      </c>
      <c r="D243" s="291" t="str">
        <f>'C. Masterfiles'!D85</f>
        <v>On-net national calls</v>
      </c>
      <c r="E243" s="499">
        <f>IF('B. Dashboard'!$K$36=1,E212,IF('B. Dashboard'!$K$36=2,E227))</f>
        <v>0.5</v>
      </c>
      <c r="F243" s="499">
        <f>IF('B. Dashboard'!$K$36=1,F212,IF('B. Dashboard'!$K$36=2,F227))</f>
        <v>0.5</v>
      </c>
      <c r="G243" s="499">
        <f>IF('B. Dashboard'!$K$36=1,G212,IF('B. Dashboard'!$K$36=2,G227))</f>
        <v>0</v>
      </c>
      <c r="H243" s="499">
        <f>IF('B. Dashboard'!$K$36=1,H212,IF('B. Dashboard'!$K$36=2,H227))</f>
        <v>2</v>
      </c>
      <c r="I243" s="499">
        <f>IF('B. Dashboard'!$K$36=1,I212,IF('B. Dashboard'!$K$36=2,I227))</f>
        <v>0.2</v>
      </c>
      <c r="J243" s="499">
        <f>IF('B. Dashboard'!$K$36=1,J212,IF('B. Dashboard'!$K$36=2,J227))</f>
        <v>0</v>
      </c>
      <c r="K243" s="499">
        <f>IF('B. Dashboard'!$K$36=1,K212,IF('B. Dashboard'!$K$36=2,K227))</f>
        <v>0</v>
      </c>
      <c r="L243" s="499">
        <f>IF('B. Dashboard'!$K$36=1,L212,IF('B. Dashboard'!$K$36=2,L227))</f>
        <v>0</v>
      </c>
      <c r="M243" s="499">
        <f>IF('B. Dashboard'!$K$36=1,M212,IF('B. Dashboard'!$K$36=2,M227))</f>
        <v>0</v>
      </c>
      <c r="N243" s="8"/>
      <c r="O243" s="8"/>
      <c r="P243" s="8"/>
      <c r="Q243" s="8"/>
      <c r="R243" s="8"/>
      <c r="S243" s="8"/>
      <c r="T243" s="8"/>
    </row>
    <row r="244" spans="1:20" ht="15.75">
      <c r="A244" s="21"/>
      <c r="B244" s="272"/>
      <c r="C244" s="291" t="str">
        <f>'C. Masterfiles'!C86</f>
        <v>S03</v>
      </c>
      <c r="D244" s="291" t="str">
        <f>'C. Masterfiles'!D86</f>
        <v>Originating calls (local)</v>
      </c>
      <c r="E244" s="499">
        <f>IF('B. Dashboard'!$K$36=1,E213,IF('B. Dashboard'!$K$36=2,E228))</f>
        <v>0.5</v>
      </c>
      <c r="F244" s="499">
        <f>IF('B. Dashboard'!$K$36=1,F213,IF('B. Dashboard'!$K$36=2,F228))</f>
        <v>0.5</v>
      </c>
      <c r="G244" s="499">
        <f>IF('B. Dashboard'!$K$36=1,G213,IF('B. Dashboard'!$K$36=2,G228))</f>
        <v>0</v>
      </c>
      <c r="H244" s="499">
        <f>IF('B. Dashboard'!$K$36=1,H213,IF('B. Dashboard'!$K$36=2,H228))</f>
        <v>0</v>
      </c>
      <c r="I244" s="499">
        <f>IF('B. Dashboard'!$K$36=1,I213,IF('B. Dashboard'!$K$36=2,I228))</f>
        <v>0</v>
      </c>
      <c r="J244" s="499">
        <f>IF('B. Dashboard'!$K$36=1,J213,IF('B. Dashboard'!$K$36=2,J228))</f>
        <v>0</v>
      </c>
      <c r="K244" s="499">
        <f>IF('B. Dashboard'!$K$36=1,K213,IF('B. Dashboard'!$K$36=2,K228))</f>
        <v>0</v>
      </c>
      <c r="L244" s="499">
        <f>IF('B. Dashboard'!$K$36=1,L213,IF('B. Dashboard'!$K$36=2,L228))</f>
        <v>1</v>
      </c>
      <c r="M244" s="499">
        <f>IF('B. Dashboard'!$K$36=1,M213,IF('B. Dashboard'!$K$36=2,M228))</f>
        <v>0</v>
      </c>
      <c r="N244" s="8"/>
      <c r="O244" s="8"/>
      <c r="P244" s="8"/>
      <c r="Q244" s="8"/>
      <c r="R244" s="8"/>
      <c r="S244" s="8"/>
      <c r="T244" s="8"/>
    </row>
    <row r="245" spans="1:20" ht="15.75">
      <c r="A245" s="21"/>
      <c r="B245" s="272"/>
      <c r="C245" s="291" t="str">
        <f>'C. Masterfiles'!C87</f>
        <v>S04</v>
      </c>
      <c r="D245" s="291" t="str">
        <f>'C. Masterfiles'!D87</f>
        <v>Originating calls (national) </v>
      </c>
      <c r="E245" s="499">
        <f>IF('B. Dashboard'!$K$36=1,E214,IF('B. Dashboard'!$K$36=2,E229))</f>
        <v>0.5</v>
      </c>
      <c r="F245" s="499">
        <f>IF('B. Dashboard'!$K$36=1,F214,IF('B. Dashboard'!$K$36=2,F229))</f>
        <v>0.5</v>
      </c>
      <c r="G245" s="499">
        <f>IF('B. Dashboard'!$K$36=1,G214,IF('B. Dashboard'!$K$36=2,G229))</f>
        <v>0</v>
      </c>
      <c r="H245" s="499">
        <f>IF('B. Dashboard'!$K$36=1,H214,IF('B. Dashboard'!$K$36=2,H229))</f>
        <v>1</v>
      </c>
      <c r="I245" s="499">
        <f>IF('B. Dashboard'!$K$36=1,I214,IF('B. Dashboard'!$K$36=2,I229))</f>
        <v>0</v>
      </c>
      <c r="J245" s="499">
        <f>IF('B. Dashboard'!$K$36=1,J214,IF('B. Dashboard'!$K$36=2,J229))</f>
        <v>0</v>
      </c>
      <c r="K245" s="499">
        <f>IF('B. Dashboard'!$K$36=1,K214,IF('B. Dashboard'!$K$36=2,K229))</f>
        <v>0</v>
      </c>
      <c r="L245" s="499">
        <f>IF('B. Dashboard'!$K$36=1,L214,IF('B. Dashboard'!$K$36=2,L229))</f>
        <v>0</v>
      </c>
      <c r="M245" s="499">
        <f>IF('B. Dashboard'!$K$36=1,M214,IF('B. Dashboard'!$K$36=2,M229))</f>
        <v>0</v>
      </c>
      <c r="N245" s="8"/>
      <c r="O245" s="8"/>
      <c r="P245" s="8"/>
      <c r="Q245" s="8"/>
      <c r="R245" s="8"/>
      <c r="S245" s="8"/>
      <c r="T245" s="8"/>
    </row>
    <row r="246" spans="1:20" ht="15.75">
      <c r="A246" s="21"/>
      <c r="B246" s="272"/>
      <c r="C246" s="291" t="str">
        <f>'C. Masterfiles'!C88</f>
        <v>S05</v>
      </c>
      <c r="D246" s="291" t="str">
        <f>'C. Masterfiles'!D88</f>
        <v>Originating calls (international)</v>
      </c>
      <c r="E246" s="499">
        <f>IF('B. Dashboard'!$K$36=1,E215,IF('B. Dashboard'!$K$36=2,E230))</f>
        <v>0.5</v>
      </c>
      <c r="F246" s="499">
        <f>IF('B. Dashboard'!$K$36=1,F215,IF('B. Dashboard'!$K$36=2,F230))</f>
        <v>0.5</v>
      </c>
      <c r="G246" s="499">
        <f>IF('B. Dashboard'!$K$36=1,G215,IF('B. Dashboard'!$K$36=2,G230))</f>
        <v>0</v>
      </c>
      <c r="H246" s="499">
        <f>IF('B. Dashboard'!$K$36=1,H215,IF('B. Dashboard'!$K$36=2,H230))</f>
        <v>1</v>
      </c>
      <c r="I246" s="499">
        <f>IF('B. Dashboard'!$K$36=1,I215,IF('B. Dashboard'!$K$36=2,I230))</f>
        <v>0</v>
      </c>
      <c r="J246" s="499">
        <f>IF('B. Dashboard'!$K$36=1,J215,IF('B. Dashboard'!$K$36=2,J230))</f>
        <v>0</v>
      </c>
      <c r="K246" s="499">
        <f>IF('B. Dashboard'!$K$36=1,K215,IF('B. Dashboard'!$K$36=2,K230))</f>
        <v>0</v>
      </c>
      <c r="L246" s="499">
        <f>IF('B. Dashboard'!$K$36=1,L215,IF('B. Dashboard'!$K$36=2,L230))</f>
        <v>0</v>
      </c>
      <c r="M246" s="499">
        <f>IF('B. Dashboard'!$K$36=1,M215,IF('B. Dashboard'!$K$36=2,M230))</f>
        <v>0</v>
      </c>
      <c r="N246" s="8"/>
      <c r="O246" s="8"/>
      <c r="P246" s="8"/>
      <c r="Q246" s="8"/>
      <c r="R246" s="8"/>
      <c r="S246" s="8"/>
      <c r="T246" s="8"/>
    </row>
    <row r="247" spans="1:20" ht="15.75">
      <c r="A247" s="21"/>
      <c r="B247" s="272"/>
      <c r="C247" s="291" t="str">
        <f>'C. Masterfiles'!C89</f>
        <v>S06</v>
      </c>
      <c r="D247" s="291" t="str">
        <f>'C. Masterfiles'!D89</f>
        <v>Terminating calls (local)</v>
      </c>
      <c r="E247" s="499">
        <f>IF('B. Dashboard'!$K$36=1,E216,IF('B. Dashboard'!$K$36=2,E231))</f>
        <v>0.5</v>
      </c>
      <c r="F247" s="499">
        <f>IF('B. Dashboard'!$K$36=1,F216,IF('B. Dashboard'!$K$36=2,F231))</f>
        <v>0.5</v>
      </c>
      <c r="G247" s="499">
        <f>IF('B. Dashboard'!$K$36=1,G216,IF('B. Dashboard'!$K$36=2,G231))</f>
        <v>0</v>
      </c>
      <c r="H247" s="499">
        <f>IF('B. Dashboard'!$K$36=1,H216,IF('B. Dashboard'!$K$36=2,H231))</f>
        <v>0</v>
      </c>
      <c r="I247" s="499">
        <f>IF('B. Dashboard'!$K$36=1,I216,IF('B. Dashboard'!$K$36=2,I231))</f>
        <v>0</v>
      </c>
      <c r="J247" s="499">
        <f>IF('B. Dashboard'!$K$36=1,J216,IF('B. Dashboard'!$K$36=2,J231))</f>
        <v>0</v>
      </c>
      <c r="K247" s="499">
        <f>IF('B. Dashboard'!$K$36=1,K216,IF('B. Dashboard'!$K$36=2,K231))</f>
        <v>0</v>
      </c>
      <c r="L247" s="499">
        <f>IF('B. Dashboard'!$K$36=1,L216,IF('B. Dashboard'!$K$36=2,L231))</f>
        <v>1</v>
      </c>
      <c r="M247" s="499">
        <f>IF('B. Dashboard'!$K$36=1,M216,IF('B. Dashboard'!$K$36=2,M231))</f>
        <v>0</v>
      </c>
      <c r="N247" s="8"/>
      <c r="O247" s="8"/>
      <c r="P247" s="8"/>
      <c r="Q247" s="8"/>
      <c r="R247" s="8"/>
      <c r="S247" s="8"/>
      <c r="T247" s="8"/>
    </row>
    <row r="248" spans="1:20" ht="15.75">
      <c r="A248" s="21"/>
      <c r="B248" s="272"/>
      <c r="C248" s="291" t="str">
        <f>'C. Masterfiles'!C90</f>
        <v>S07</v>
      </c>
      <c r="D248" s="291" t="str">
        <f>'C. Masterfiles'!D90</f>
        <v>Terminating calls (national) </v>
      </c>
      <c r="E248" s="499">
        <f>IF('B. Dashboard'!$K$36=1,E217,IF('B. Dashboard'!$K$36=2,E232))</f>
        <v>0.5</v>
      </c>
      <c r="F248" s="499">
        <f>IF('B. Dashboard'!$K$36=1,F217,IF('B. Dashboard'!$K$36=2,F232))</f>
        <v>0.5</v>
      </c>
      <c r="G248" s="499">
        <f>IF('B. Dashboard'!$K$36=1,G217,IF('B. Dashboard'!$K$36=2,G232))</f>
        <v>0</v>
      </c>
      <c r="H248" s="499">
        <f>IF('B. Dashboard'!$K$36=1,H217,IF('B. Dashboard'!$K$36=2,H232))</f>
        <v>1</v>
      </c>
      <c r="I248" s="499">
        <f>IF('B. Dashboard'!$K$36=1,I217,IF('B. Dashboard'!$K$36=2,I232))</f>
        <v>0</v>
      </c>
      <c r="J248" s="499">
        <f>IF('B. Dashboard'!$K$36=1,J217,IF('B. Dashboard'!$K$36=2,J232))</f>
        <v>0</v>
      </c>
      <c r="K248" s="499">
        <f>IF('B. Dashboard'!$K$36=1,K217,IF('B. Dashboard'!$K$36=2,K232))</f>
        <v>0</v>
      </c>
      <c r="L248" s="499">
        <f>IF('B. Dashboard'!$K$36=1,L217,IF('B. Dashboard'!$K$36=2,L232))</f>
        <v>0</v>
      </c>
      <c r="M248" s="499">
        <f>IF('B. Dashboard'!$K$36=1,M217,IF('B. Dashboard'!$K$36=2,M232))</f>
        <v>0</v>
      </c>
      <c r="N248" s="8"/>
      <c r="O248" s="8"/>
      <c r="P248" s="8"/>
      <c r="Q248" s="8"/>
      <c r="R248" s="8"/>
      <c r="S248" s="8"/>
      <c r="T248" s="8"/>
    </row>
    <row r="249" spans="1:20" ht="15.75">
      <c r="A249" s="21"/>
      <c r="B249" s="272"/>
      <c r="C249" s="291" t="str">
        <f>'C. Masterfiles'!C91</f>
        <v>S08</v>
      </c>
      <c r="D249" s="291" t="str">
        <f>'C. Masterfiles'!D91</f>
        <v>Terminating calls (international)</v>
      </c>
      <c r="E249" s="499">
        <f>IF('B. Dashboard'!$K$36=1,E218,IF('B. Dashboard'!$K$36=2,E233))</f>
        <v>0.5</v>
      </c>
      <c r="F249" s="499">
        <f>IF('B. Dashboard'!$K$36=1,F218,IF('B. Dashboard'!$K$36=2,F233))</f>
        <v>0.5</v>
      </c>
      <c r="G249" s="499">
        <f>IF('B. Dashboard'!$K$36=1,G218,IF('B. Dashboard'!$K$36=2,G233))</f>
        <v>0</v>
      </c>
      <c r="H249" s="499">
        <f>IF('B. Dashboard'!$K$36=1,H218,IF('B. Dashboard'!$K$36=2,H233))</f>
        <v>1</v>
      </c>
      <c r="I249" s="499">
        <f>IF('B. Dashboard'!$K$36=1,I218,IF('B. Dashboard'!$K$36=2,I233))</f>
        <v>0</v>
      </c>
      <c r="J249" s="499">
        <f>IF('B. Dashboard'!$K$36=1,J218,IF('B. Dashboard'!$K$36=2,J233))</f>
        <v>0</v>
      </c>
      <c r="K249" s="499">
        <f>IF('B. Dashboard'!$K$36=1,K218,IF('B. Dashboard'!$K$36=2,K233))</f>
        <v>0</v>
      </c>
      <c r="L249" s="499">
        <f>IF('B. Dashboard'!$K$36=1,L218,IF('B. Dashboard'!$K$36=2,L233))</f>
        <v>0</v>
      </c>
      <c r="M249" s="499">
        <f>IF('B. Dashboard'!$K$36=1,M218,IF('B. Dashboard'!$K$36=2,M233))</f>
        <v>0</v>
      </c>
      <c r="N249" s="8"/>
      <c r="O249" s="8"/>
      <c r="P249" s="8"/>
      <c r="Q249" s="8"/>
      <c r="R249" s="8"/>
      <c r="S249" s="8"/>
      <c r="T249" s="8"/>
    </row>
    <row r="250" spans="1:20" ht="15.75">
      <c r="A250" s="21"/>
      <c r="B250" s="272"/>
      <c r="C250" s="291" t="str">
        <f>'C. Masterfiles'!C92</f>
        <v>S09</v>
      </c>
      <c r="D250" s="291" t="str">
        <f>'C. Masterfiles'!D92</f>
        <v>Transit calls</v>
      </c>
      <c r="E250" s="499">
        <f>IF('B. Dashboard'!$K$36=1,E219,IF('B. Dashboard'!$K$36=2,E234))</f>
        <v>0</v>
      </c>
      <c r="F250" s="499">
        <f>IF('B. Dashboard'!$K$36=1,F219,IF('B. Dashboard'!$K$36=2,F234))</f>
        <v>0</v>
      </c>
      <c r="G250" s="499">
        <f>IF('B. Dashboard'!$K$36=1,G219,IF('B. Dashboard'!$K$36=2,G234))</f>
        <v>0</v>
      </c>
      <c r="H250" s="499">
        <f>IF('B. Dashboard'!$K$36=1,H219,IF('B. Dashboard'!$K$36=2,H234))</f>
        <v>1</v>
      </c>
      <c r="I250" s="499">
        <f>IF('B. Dashboard'!$K$36=1,I219,IF('B. Dashboard'!$K$36=2,I234))</f>
        <v>1</v>
      </c>
      <c r="J250" s="499">
        <f>IF('B. Dashboard'!$K$36=1,J219,IF('B. Dashboard'!$K$36=2,J234))</f>
        <v>0</v>
      </c>
      <c r="K250" s="499">
        <f>IF('B. Dashboard'!$K$36=1,K219,IF('B. Dashboard'!$K$36=2,K234))</f>
        <v>0</v>
      </c>
      <c r="L250" s="499">
        <f>IF('B. Dashboard'!$K$36=1,L219,IF('B. Dashboard'!$K$36=2,L234))</f>
        <v>1</v>
      </c>
      <c r="M250" s="499">
        <f>IF('B. Dashboard'!$K$36=1,M219,IF('B. Dashboard'!$K$36=2,M234))</f>
        <v>0</v>
      </c>
      <c r="N250" s="8"/>
      <c r="O250" s="8"/>
      <c r="P250" s="8"/>
      <c r="Q250" s="8"/>
      <c r="R250" s="8"/>
      <c r="S250" s="8"/>
      <c r="T250" s="8"/>
    </row>
    <row r="251" spans="1:20" ht="15.75">
      <c r="A251" s="21"/>
      <c r="B251" s="272"/>
      <c r="C251" s="291" t="str">
        <f>'C. Masterfiles'!C93</f>
        <v>S10</v>
      </c>
      <c r="D251" s="291" t="str">
        <f>'C. Masterfiles'!D93</f>
        <v>Calls to directory enquiries, emergency &amp; helpdesk</v>
      </c>
      <c r="E251" s="499">
        <f>IF('B. Dashboard'!$K$36=1,E220,IF('B. Dashboard'!$K$36=2,E235))</f>
        <v>0.5</v>
      </c>
      <c r="F251" s="499">
        <f>IF('B. Dashboard'!$K$36=1,F220,IF('B. Dashboard'!$K$36=2,F235))</f>
        <v>0.5</v>
      </c>
      <c r="G251" s="499">
        <f>IF('B. Dashboard'!$K$36=1,G220,IF('B. Dashboard'!$K$36=2,G235))</f>
        <v>0</v>
      </c>
      <c r="H251" s="499">
        <f>IF('B. Dashboard'!$K$36=1,H220,IF('B. Dashboard'!$K$36=2,H235))</f>
        <v>1</v>
      </c>
      <c r="I251" s="499">
        <f>IF('B. Dashboard'!$K$36=1,I220,IF('B. Dashboard'!$K$36=2,I235))</f>
        <v>0</v>
      </c>
      <c r="J251" s="499">
        <f>IF('B. Dashboard'!$K$36=1,J220,IF('B. Dashboard'!$K$36=2,J235))</f>
        <v>0.5</v>
      </c>
      <c r="K251" s="499">
        <f>IF('B. Dashboard'!$K$36=1,K220,IF('B. Dashboard'!$K$36=2,K235))</f>
        <v>1.5</v>
      </c>
      <c r="L251" s="499">
        <f>IF('B. Dashboard'!$K$36=1,L220,IF('B. Dashboard'!$K$36=2,L235))</f>
        <v>0</v>
      </c>
      <c r="M251" s="499">
        <f>IF('B. Dashboard'!$K$36=1,M220,IF('B. Dashboard'!$K$36=2,M235))</f>
        <v>0</v>
      </c>
      <c r="N251" s="8"/>
      <c r="O251" s="8"/>
      <c r="P251" s="8"/>
      <c r="Q251" s="8"/>
      <c r="R251" s="8"/>
      <c r="S251" s="8"/>
      <c r="T251" s="8"/>
    </row>
    <row r="252" spans="1:20" ht="15.75">
      <c r="A252" s="21"/>
      <c r="B252" s="272"/>
      <c r="C252" s="291" t="str">
        <f>'C. Masterfiles'!C94</f>
        <v>S11</v>
      </c>
      <c r="D252" s="291" t="str">
        <f>'C. Masterfiles'!D94</f>
        <v>Calls to non-geographic numbers</v>
      </c>
      <c r="E252" s="499">
        <f>IF('B. Dashboard'!$K$36=1,E221,IF('B. Dashboard'!$K$36=2,E236))</f>
        <v>0.5</v>
      </c>
      <c r="F252" s="499">
        <f>IF('B. Dashboard'!$K$36=1,F221,IF('B. Dashboard'!$K$36=2,F236))</f>
        <v>0.5</v>
      </c>
      <c r="G252" s="499">
        <f>IF('B. Dashboard'!$K$36=1,G221,IF('B. Dashboard'!$K$36=2,G236))</f>
        <v>0</v>
      </c>
      <c r="H252" s="499">
        <f>IF('B. Dashboard'!$K$36=1,H221,IF('B. Dashboard'!$K$36=2,H236))</f>
        <v>1</v>
      </c>
      <c r="I252" s="499">
        <f>IF('B. Dashboard'!$K$36=1,I221,IF('B. Dashboard'!$K$36=2,I236))</f>
        <v>0</v>
      </c>
      <c r="J252" s="499">
        <f>IF('B. Dashboard'!$K$36=1,J221,IF('B. Dashboard'!$K$36=2,J236))</f>
        <v>0.5</v>
      </c>
      <c r="K252" s="499">
        <f>IF('B. Dashboard'!$K$36=1,K221,IF('B. Dashboard'!$K$36=2,K236))</f>
        <v>1.5</v>
      </c>
      <c r="L252" s="499">
        <f>IF('B. Dashboard'!$K$36=1,L221,IF('B. Dashboard'!$K$36=2,L236))</f>
        <v>0</v>
      </c>
      <c r="M252" s="499">
        <f>IF('B. Dashboard'!$K$36=1,M221,IF('B. Dashboard'!$K$36=2,M236))</f>
        <v>0</v>
      </c>
      <c r="N252" s="8"/>
      <c r="O252" s="8"/>
      <c r="P252" s="8"/>
      <c r="Q252" s="8"/>
      <c r="R252" s="8"/>
      <c r="S252" s="8"/>
      <c r="T252" s="8"/>
    </row>
    <row r="253" spans="1:20" ht="15.75">
      <c r="A253" s="21"/>
      <c r="B253" s="272"/>
      <c r="C253" s="291" t="str">
        <f>'C. Masterfiles'!C95</f>
        <v>S12</v>
      </c>
      <c r="D253" s="291" t="str">
        <f>'C. Masterfiles'!D95</f>
        <v>Internet dial-up calls</v>
      </c>
      <c r="E253" s="499">
        <f>IF('B. Dashboard'!$K$36=1,E222,IF('B. Dashboard'!$K$36=2,E237))</f>
        <v>0.5</v>
      </c>
      <c r="F253" s="499">
        <f>IF('B. Dashboard'!$K$36=1,F222,IF('B. Dashboard'!$K$36=2,F237))</f>
        <v>0.5</v>
      </c>
      <c r="G253" s="499">
        <f>IF('B. Dashboard'!$K$36=1,G222,IF('B. Dashboard'!$K$36=2,G237))</f>
        <v>0</v>
      </c>
      <c r="H253" s="499">
        <f>IF('B. Dashboard'!$K$36=1,H222,IF('B. Dashboard'!$K$36=2,H237))</f>
        <v>1</v>
      </c>
      <c r="I253" s="499">
        <f>IF('B. Dashboard'!$K$36=1,I222,IF('B. Dashboard'!$K$36=2,I237))</f>
        <v>0</v>
      </c>
      <c r="J253" s="499">
        <f>IF('B. Dashboard'!$K$36=1,J222,IF('B. Dashboard'!$K$36=2,J237))</f>
        <v>0</v>
      </c>
      <c r="K253" s="499">
        <f>IF('B. Dashboard'!$K$36=1,K222,IF('B. Dashboard'!$K$36=2,K237))</f>
        <v>0</v>
      </c>
      <c r="L253" s="499">
        <f>IF('B. Dashboard'!$K$36=1,L222,IF('B. Dashboard'!$K$36=2,L237))</f>
        <v>0</v>
      </c>
      <c r="M253" s="499">
        <f>IF('B. Dashboard'!$K$36=1,M222,IF('B. Dashboard'!$K$36=2,M237))</f>
        <v>0</v>
      </c>
      <c r="N253" s="8"/>
      <c r="O253" s="8"/>
      <c r="P253" s="8"/>
      <c r="Q253" s="8"/>
      <c r="R253" s="8"/>
      <c r="S253" s="8"/>
      <c r="T253" s="8"/>
    </row>
    <row r="254" spans="1:21" ht="15.75">
      <c r="A254" s="21"/>
      <c r="B254" s="272"/>
      <c r="C254" s="29"/>
      <c r="D254" s="45"/>
      <c r="E254" s="50"/>
      <c r="F254" s="50"/>
      <c r="G254" s="50"/>
      <c r="H254" s="50"/>
      <c r="I254" s="50"/>
      <c r="J254" s="50"/>
      <c r="K254" s="50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15.75">
      <c r="A255" s="21"/>
      <c r="B255" s="272"/>
      <c r="C255" s="29"/>
      <c r="D255" s="45"/>
      <c r="E255" s="50"/>
      <c r="F255" s="50"/>
      <c r="G255" s="50"/>
      <c r="H255" s="50"/>
      <c r="I255" s="50"/>
      <c r="J255" s="50"/>
      <c r="K255" s="50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</sheetData>
  <sheetProtection/>
  <mergeCells count="5">
    <mergeCell ref="H131:H132"/>
    <mergeCell ref="F31:G31"/>
    <mergeCell ref="F48:G48"/>
    <mergeCell ref="G131:G132"/>
    <mergeCell ref="E131:F131"/>
  </mergeCells>
  <dataValidations count="1">
    <dataValidation allowBlank="1" sqref="F1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4.7109375" style="57" customWidth="1"/>
    <col min="2" max="2" width="15.7109375" style="74" customWidth="1"/>
    <col min="3" max="3" width="11.7109375" style="1" customWidth="1"/>
    <col min="4" max="4" width="36.140625" style="1" customWidth="1"/>
    <col min="5" max="5" width="24.140625" style="97" customWidth="1"/>
    <col min="6" max="7" width="12.7109375" style="97" customWidth="1"/>
    <col min="8" max="17" width="12.7109375" style="1" customWidth="1"/>
    <col min="18" max="18" width="9.140625" style="1" customWidth="1"/>
    <col min="19" max="21" width="12.7109375" style="1" hidden="1" customWidth="1"/>
    <col min="22" max="16384" width="9.140625" style="1" customWidth="1"/>
  </cols>
  <sheetData>
    <row r="1" spans="1:7" s="21" customFormat="1" ht="26.25">
      <c r="A1" s="20">
        <v>4</v>
      </c>
      <c r="B1" s="22" t="s">
        <v>614</v>
      </c>
      <c r="D1" s="23"/>
      <c r="E1" s="24"/>
      <c r="F1" s="24"/>
      <c r="G1" s="24"/>
    </row>
    <row r="2" spans="2:3" ht="12.75">
      <c r="B2" s="54"/>
      <c r="C2" s="126"/>
    </row>
    <row r="3" spans="2:3" ht="12.75">
      <c r="B3" s="54"/>
      <c r="C3" s="126"/>
    </row>
    <row r="4" spans="2:10" ht="12.75">
      <c r="B4" s="598" t="s">
        <v>247</v>
      </c>
      <c r="C4" s="257" t="s">
        <v>314</v>
      </c>
      <c r="D4" s="257"/>
      <c r="E4" s="257"/>
      <c r="F4" s="257"/>
      <c r="G4" s="257"/>
      <c r="H4" s="280"/>
      <c r="I4" s="280"/>
      <c r="J4" s="280"/>
    </row>
    <row r="5" spans="2:10" ht="12.75">
      <c r="B5" s="599" t="s">
        <v>249</v>
      </c>
      <c r="C5" s="244" t="s">
        <v>293</v>
      </c>
      <c r="D5" s="244"/>
      <c r="E5" s="244"/>
      <c r="F5" s="244"/>
      <c r="G5" s="244"/>
      <c r="H5" s="243"/>
      <c r="I5" s="243"/>
      <c r="J5" s="243"/>
    </row>
    <row r="6" spans="2:10" ht="12.75">
      <c r="B6" s="600" t="s">
        <v>251</v>
      </c>
      <c r="C6" s="323" t="s">
        <v>255</v>
      </c>
      <c r="D6" s="323"/>
      <c r="E6" s="323"/>
      <c r="F6" s="323"/>
      <c r="G6" s="323"/>
      <c r="H6" s="324"/>
      <c r="I6" s="324"/>
      <c r="J6" s="324"/>
    </row>
    <row r="7" spans="2:10" ht="12.75">
      <c r="B7" s="601" t="s">
        <v>252</v>
      </c>
      <c r="C7" s="258" t="s">
        <v>294</v>
      </c>
      <c r="D7" s="258"/>
      <c r="E7" s="258"/>
      <c r="F7" s="258"/>
      <c r="G7" s="258"/>
      <c r="H7" s="281"/>
      <c r="I7" s="281"/>
      <c r="J7" s="281"/>
    </row>
    <row r="8" spans="2:10" ht="12.75">
      <c r="B8" s="602" t="s">
        <v>254</v>
      </c>
      <c r="C8" s="259" t="s">
        <v>158</v>
      </c>
      <c r="D8" s="259"/>
      <c r="E8" s="259"/>
      <c r="F8" s="259"/>
      <c r="G8" s="259"/>
      <c r="H8" s="255"/>
      <c r="I8" s="255"/>
      <c r="J8" s="255"/>
    </row>
    <row r="9" spans="2:3" ht="12.75">
      <c r="B9" s="54"/>
      <c r="C9" s="126"/>
    </row>
    <row r="10" spans="2:14" s="21" customFormat="1" ht="12.75">
      <c r="B10" s="25"/>
      <c r="C10" s="114"/>
      <c r="D10" s="23"/>
      <c r="E10" s="24"/>
      <c r="F10" s="24"/>
      <c r="G10" s="24"/>
      <c r="I10" s="27"/>
      <c r="J10" s="27"/>
      <c r="M10" s="25"/>
      <c r="N10" s="25"/>
    </row>
    <row r="11" spans="1:2" ht="12.75">
      <c r="A11" s="1"/>
      <c r="B11" s="54"/>
    </row>
    <row r="13" spans="1:2" ht="12.75">
      <c r="A13" s="387">
        <v>4.01</v>
      </c>
      <c r="B13" s="107" t="s">
        <v>834</v>
      </c>
    </row>
    <row r="15" spans="2:6" ht="12.75">
      <c r="B15" s="561" t="s">
        <v>185</v>
      </c>
      <c r="D15" s="350"/>
      <c r="E15" s="498"/>
      <c r="F15" s="498"/>
    </row>
    <row r="16" spans="4:8" ht="12.75">
      <c r="D16" s="384" t="s">
        <v>16</v>
      </c>
      <c r="E16" s="500">
        <v>2009</v>
      </c>
      <c r="F16" s="350"/>
      <c r="G16" s="498"/>
      <c r="H16" s="498"/>
    </row>
    <row r="17" spans="4:8" ht="12.75">
      <c r="D17" s="385" t="s">
        <v>13</v>
      </c>
      <c r="E17" s="501" t="s">
        <v>200</v>
      </c>
      <c r="F17" s="350"/>
      <c r="G17" s="498"/>
      <c r="H17" s="498"/>
    </row>
    <row r="19" ht="12.75">
      <c r="E19" s="589" t="s">
        <v>286</v>
      </c>
    </row>
    <row r="20" spans="4:9" ht="38.25">
      <c r="D20" s="382" t="s">
        <v>606</v>
      </c>
      <c r="E20" s="529" t="s">
        <v>214</v>
      </c>
      <c r="F20" s="529" t="s">
        <v>201</v>
      </c>
      <c r="G20" s="529" t="s">
        <v>219</v>
      </c>
      <c r="H20" s="529" t="s">
        <v>812</v>
      </c>
      <c r="I20" s="529" t="s">
        <v>765</v>
      </c>
    </row>
    <row r="21" spans="4:9" ht="12.75">
      <c r="D21" s="562" t="s">
        <v>202</v>
      </c>
      <c r="E21" s="578"/>
      <c r="F21" s="578"/>
      <c r="G21" s="578"/>
      <c r="H21" s="578"/>
      <c r="I21" s="578"/>
    </row>
    <row r="22" spans="4:9" ht="12.75">
      <c r="D22" s="562" t="s">
        <v>203</v>
      </c>
      <c r="E22" s="578"/>
      <c r="F22" s="578"/>
      <c r="G22" s="578"/>
      <c r="H22" s="578"/>
      <c r="I22" s="578"/>
    </row>
    <row r="23" spans="4:9" ht="12.75">
      <c r="D23" s="562" t="s">
        <v>204</v>
      </c>
      <c r="E23" s="578"/>
      <c r="F23" s="578"/>
      <c r="G23" s="578"/>
      <c r="H23" s="578"/>
      <c r="I23" s="578"/>
    </row>
    <row r="24" spans="4:9" ht="12.75">
      <c r="D24" s="562" t="s">
        <v>205</v>
      </c>
      <c r="E24" s="578"/>
      <c r="F24" s="578"/>
      <c r="G24" s="578"/>
      <c r="H24" s="578"/>
      <c r="I24" s="578"/>
    </row>
    <row r="25" spans="4:10" ht="12.75">
      <c r="D25" s="562" t="s">
        <v>206</v>
      </c>
      <c r="E25" s="578"/>
      <c r="F25" s="578"/>
      <c r="G25" s="578"/>
      <c r="H25" s="578"/>
      <c r="I25" s="578"/>
      <c r="J25" s="514" t="s">
        <v>215</v>
      </c>
    </row>
    <row r="26" spans="4:9" ht="12.75">
      <c r="D26" s="562" t="s">
        <v>207</v>
      </c>
      <c r="E26" s="578"/>
      <c r="F26" s="578"/>
      <c r="G26" s="578"/>
      <c r="H26" s="578"/>
      <c r="I26" s="578"/>
    </row>
    <row r="27" spans="4:10" ht="12.75">
      <c r="D27" s="562" t="s">
        <v>208</v>
      </c>
      <c r="E27" s="578"/>
      <c r="F27" s="578"/>
      <c r="G27" s="578"/>
      <c r="H27" s="578"/>
      <c r="I27" s="578"/>
      <c r="J27" s="514" t="s">
        <v>41</v>
      </c>
    </row>
    <row r="28" spans="4:10" ht="12.75">
      <c r="D28" s="562" t="s">
        <v>209</v>
      </c>
      <c r="E28" s="578"/>
      <c r="F28" s="578"/>
      <c r="G28" s="578"/>
      <c r="H28" s="578"/>
      <c r="I28" s="578"/>
      <c r="J28" s="514" t="s">
        <v>41</v>
      </c>
    </row>
    <row r="29" spans="4:9" ht="12.75">
      <c r="D29" s="576" t="s">
        <v>210</v>
      </c>
      <c r="E29" s="578"/>
      <c r="F29" s="578"/>
      <c r="G29" s="578"/>
      <c r="H29" s="578"/>
      <c r="I29" s="578"/>
    </row>
    <row r="30" spans="4:9" ht="12.75">
      <c r="D30" s="576" t="s">
        <v>211</v>
      </c>
      <c r="E30" s="578"/>
      <c r="F30" s="578"/>
      <c r="G30" s="578"/>
      <c r="H30" s="578"/>
      <c r="I30" s="578"/>
    </row>
    <row r="31" spans="4:9" ht="12.75">
      <c r="D31" s="575" t="s">
        <v>212</v>
      </c>
      <c r="E31" s="578"/>
      <c r="F31" s="578"/>
      <c r="G31" s="578"/>
      <c r="H31" s="578"/>
      <c r="I31" s="578"/>
    </row>
    <row r="32" spans="4:9" ht="12.75">
      <c r="D32" s="576" t="s">
        <v>213</v>
      </c>
      <c r="E32" s="578"/>
      <c r="F32" s="578"/>
      <c r="G32" s="578"/>
      <c r="H32" s="578"/>
      <c r="I32" s="578"/>
    </row>
    <row r="33" spans="4:9" ht="12.75">
      <c r="D33" s="382" t="s">
        <v>635</v>
      </c>
      <c r="E33" s="502">
        <f>SUM(E21:E32)</f>
        <v>0</v>
      </c>
      <c r="F33" s="502">
        <f>SUM(F21:F32)</f>
        <v>0</v>
      </c>
      <c r="G33" s="502">
        <f>SUM(G21:G32)</f>
        <v>0</v>
      </c>
      <c r="H33" s="502">
        <f>SUM(H21:H32)</f>
        <v>0</v>
      </c>
      <c r="I33" s="502">
        <f>SUM(I21:I32)</f>
        <v>0</v>
      </c>
    </row>
    <row r="36" spans="4:8" ht="12.75">
      <c r="D36" s="382" t="s">
        <v>606</v>
      </c>
      <c r="E36" s="383" t="s">
        <v>17</v>
      </c>
      <c r="F36" s="691" t="s">
        <v>18</v>
      </c>
      <c r="G36" s="686"/>
      <c r="H36" s="687"/>
    </row>
    <row r="37" spans="4:8" ht="12.75">
      <c r="D37" s="577" t="s">
        <v>214</v>
      </c>
      <c r="E37" s="296">
        <f>(SUM(E21:E32)-E25-E27-E28)*1000</f>
        <v>0</v>
      </c>
      <c r="F37" s="688">
        <f>E37/'C. Masterfiles'!E$112</f>
        <v>0</v>
      </c>
      <c r="G37" s="689"/>
      <c r="H37" s="690"/>
    </row>
    <row r="38" spans="4:8" ht="12.75">
      <c r="D38" s="385" t="s">
        <v>812</v>
      </c>
      <c r="E38" s="296">
        <f>(SUM(H21:H32)-H27)*1000</f>
        <v>0</v>
      </c>
      <c r="F38" s="688">
        <f>E38/'C. Masterfiles'!E$112</f>
        <v>0</v>
      </c>
      <c r="G38" s="689"/>
      <c r="H38" s="690"/>
    </row>
    <row r="39" spans="4:8" ht="12.75">
      <c r="D39" s="385" t="s">
        <v>787</v>
      </c>
      <c r="E39" s="296">
        <f>(SUM(F21:F32)-F27)*1000</f>
        <v>0</v>
      </c>
      <c r="F39" s="688">
        <f>E39/'C. Masterfiles'!E$112</f>
        <v>0</v>
      </c>
      <c r="G39" s="689"/>
      <c r="H39" s="690"/>
    </row>
    <row r="40" spans="4:8" ht="12.75">
      <c r="D40" s="384" t="s">
        <v>788</v>
      </c>
      <c r="E40" s="296">
        <f>(SUM(G21:G32)-G27)*1000</f>
        <v>0</v>
      </c>
      <c r="F40" s="688">
        <f>E40/'C. Masterfiles'!E$112</f>
        <v>0</v>
      </c>
      <c r="G40" s="689"/>
      <c r="H40" s="690"/>
    </row>
    <row r="41" spans="4:8" ht="12.75">
      <c r="D41" s="382" t="s">
        <v>635</v>
      </c>
      <c r="E41" s="502">
        <f>SUM(E37:E40)</f>
        <v>0</v>
      </c>
      <c r="F41" s="685">
        <f>SUM(F37:H40)</f>
        <v>0</v>
      </c>
      <c r="G41" s="686"/>
      <c r="H41" s="687"/>
    </row>
    <row r="43" ht="12.75">
      <c r="E43" s="589" t="s">
        <v>286</v>
      </c>
    </row>
    <row r="44" spans="4:5" ht="12.75">
      <c r="D44" s="563" t="s">
        <v>186</v>
      </c>
      <c r="E44" s="383" t="s">
        <v>20</v>
      </c>
    </row>
    <row r="45" spans="4:6" ht="12.75">
      <c r="D45" s="577" t="s">
        <v>216</v>
      </c>
      <c r="E45" s="536"/>
      <c r="F45" s="503" t="s">
        <v>284</v>
      </c>
    </row>
    <row r="46" spans="4:6" ht="12.75">
      <c r="D46" s="577" t="s">
        <v>217</v>
      </c>
      <c r="E46" s="536"/>
      <c r="F46" s="503" t="s">
        <v>285</v>
      </c>
    </row>
    <row r="47" spans="4:6" ht="12.75">
      <c r="D47" s="577" t="s">
        <v>218</v>
      </c>
      <c r="E47" s="579" t="e">
        <f>E46/F37</f>
        <v>#DIV/0!</v>
      </c>
      <c r="F47" s="503"/>
    </row>
    <row r="50" spans="4:8" ht="12.75">
      <c r="D50" s="382" t="s">
        <v>606</v>
      </c>
      <c r="E50" s="383" t="s">
        <v>21</v>
      </c>
      <c r="F50" s="691" t="s">
        <v>816</v>
      </c>
      <c r="G50" s="692"/>
      <c r="H50" s="663"/>
    </row>
    <row r="51" spans="4:8" ht="12.75">
      <c r="D51" s="385" t="s">
        <v>812</v>
      </c>
      <c r="E51" s="580">
        <v>0.01</v>
      </c>
      <c r="F51" s="693" t="s">
        <v>817</v>
      </c>
      <c r="G51" s="692"/>
      <c r="H51" s="663"/>
    </row>
    <row r="52" spans="4:8" ht="12.75">
      <c r="D52" s="385" t="s">
        <v>787</v>
      </c>
      <c r="E52" s="580">
        <v>0.06</v>
      </c>
      <c r="F52" s="693" t="s">
        <v>818</v>
      </c>
      <c r="G52" s="692"/>
      <c r="H52" s="663"/>
    </row>
    <row r="53" spans="4:8" ht="12.75">
      <c r="D53" s="384" t="s">
        <v>788</v>
      </c>
      <c r="E53" s="580">
        <v>0.08</v>
      </c>
      <c r="F53" s="693" t="s">
        <v>819</v>
      </c>
      <c r="G53" s="692"/>
      <c r="H53" s="663"/>
    </row>
    <row r="54" spans="4:8" ht="12.75">
      <c r="D54" s="382" t="s">
        <v>635</v>
      </c>
      <c r="E54" s="530">
        <f>(1+E51)*(1+E52)*(1+E53)-1</f>
        <v>0.15624800000000016</v>
      </c>
      <c r="F54" s="691"/>
      <c r="G54" s="692"/>
      <c r="H54" s="663"/>
    </row>
    <row r="55" spans="5:8" ht="12.75">
      <c r="E55" s="1"/>
      <c r="F55" s="1"/>
      <c r="G55" s="504"/>
      <c r="H55" s="504"/>
    </row>
    <row r="57" ht="12.75">
      <c r="B57" s="74" t="s">
        <v>22</v>
      </c>
    </row>
    <row r="59" spans="4:8" ht="12.75">
      <c r="D59" s="382" t="s">
        <v>606</v>
      </c>
      <c r="E59" s="529" t="s">
        <v>75</v>
      </c>
      <c r="F59" s="691" t="s">
        <v>816</v>
      </c>
      <c r="G59" s="692"/>
      <c r="H59" s="663"/>
    </row>
    <row r="60" spans="4:8" ht="12.75">
      <c r="D60" s="385" t="s">
        <v>812</v>
      </c>
      <c r="E60" s="337">
        <f>IF('E. Graphs'!$X$13=1,0,E51)</f>
        <v>0.01</v>
      </c>
      <c r="F60" s="693" t="s">
        <v>817</v>
      </c>
      <c r="G60" s="692"/>
      <c r="H60" s="663"/>
    </row>
    <row r="61" spans="4:8" ht="12.75">
      <c r="D61" s="385" t="s">
        <v>787</v>
      </c>
      <c r="E61" s="337">
        <f>IF('E. Graphs'!$X$13=1,0,E52)</f>
        <v>0.06</v>
      </c>
      <c r="F61" s="693" t="s">
        <v>818</v>
      </c>
      <c r="G61" s="692"/>
      <c r="H61" s="663"/>
    </row>
    <row r="62" spans="4:8" ht="12.75">
      <c r="D62" s="384" t="s">
        <v>788</v>
      </c>
      <c r="E62" s="337">
        <f>IF('E. Graphs'!$X$13=1,0,E53)</f>
        <v>0.08</v>
      </c>
      <c r="F62" s="693" t="s">
        <v>819</v>
      </c>
      <c r="G62" s="692"/>
      <c r="H62" s="663"/>
    </row>
    <row r="63" spans="4:8" ht="12.75">
      <c r="D63" s="382" t="s">
        <v>635</v>
      </c>
      <c r="E63" s="530">
        <f>(1+E60)*(1+E61)*(1+E62)-1</f>
        <v>0.15624800000000016</v>
      </c>
      <c r="F63" s="691"/>
      <c r="G63" s="692"/>
      <c r="H63" s="663"/>
    </row>
  </sheetData>
  <sheetProtection/>
  <mergeCells count="16">
    <mergeCell ref="F54:H54"/>
    <mergeCell ref="F59:H59"/>
    <mergeCell ref="F63:H63"/>
    <mergeCell ref="F60:H60"/>
    <mergeCell ref="F61:H61"/>
    <mergeCell ref="F62:H62"/>
    <mergeCell ref="F50:H50"/>
    <mergeCell ref="F51:H51"/>
    <mergeCell ref="F52:H52"/>
    <mergeCell ref="F53:H53"/>
    <mergeCell ref="F41:H41"/>
    <mergeCell ref="F37:H37"/>
    <mergeCell ref="F36:H36"/>
    <mergeCell ref="F38:H38"/>
    <mergeCell ref="F39:H39"/>
    <mergeCell ref="F40:H40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AB188"/>
  <sheetViews>
    <sheetView zoomScale="115" zoomScaleNormal="115" zoomScalePageLayoutView="0" workbookViewId="0" topLeftCell="B1">
      <selection activeCell="D9" sqref="D9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11.28125" style="1" customWidth="1"/>
    <col min="4" max="4" width="40.7109375" style="1" customWidth="1"/>
    <col min="5" max="5" width="14.140625" style="1" customWidth="1"/>
    <col min="6" max="6" width="23.421875" style="1" customWidth="1"/>
    <col min="7" max="10" width="17.140625" style="1" customWidth="1"/>
    <col min="11" max="11" width="17.28125" style="1" customWidth="1"/>
    <col min="12" max="16" width="14.00390625" style="1" customWidth="1"/>
    <col min="17" max="21" width="13.140625" style="1" customWidth="1"/>
    <col min="22" max="26" width="13.421875" style="1" customWidth="1"/>
    <col min="27" max="30" width="9.140625" style="1" customWidth="1"/>
    <col min="31" max="31" width="16.7109375" style="1" customWidth="1"/>
    <col min="32" max="32" width="10.421875" style="1" customWidth="1"/>
    <col min="33" max="33" width="10.8515625" style="1" customWidth="1"/>
    <col min="34" max="16384" width="9.140625" style="1" customWidth="1"/>
  </cols>
  <sheetData>
    <row r="1" spans="1:5" s="21" customFormat="1" ht="26.25">
      <c r="A1" s="20">
        <v>5</v>
      </c>
      <c r="B1" s="22" t="s">
        <v>714</v>
      </c>
      <c r="D1" s="23"/>
      <c r="E1" s="24"/>
    </row>
    <row r="2" ht="12.75">
      <c r="C2" s="126"/>
    </row>
    <row r="3" spans="2:8" ht="12.75">
      <c r="B3" s="598" t="s">
        <v>247</v>
      </c>
      <c r="C3" s="257" t="s">
        <v>315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295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160</v>
      </c>
      <c r="D5" s="324"/>
      <c r="E5" s="324"/>
      <c r="F5" s="324"/>
      <c r="G5" s="324"/>
      <c r="H5" s="324"/>
    </row>
    <row r="6" spans="2:8" ht="12.75">
      <c r="B6" s="601" t="s">
        <v>252</v>
      </c>
      <c r="C6" s="258" t="s">
        <v>316</v>
      </c>
      <c r="D6" s="281"/>
      <c r="E6" s="281"/>
      <c r="F6" s="281"/>
      <c r="G6" s="281"/>
      <c r="H6" s="281"/>
    </row>
    <row r="7" spans="2:8" ht="12.75">
      <c r="B7" s="602" t="s">
        <v>254</v>
      </c>
      <c r="C7" s="259" t="s">
        <v>159</v>
      </c>
      <c r="D7" s="255"/>
      <c r="E7" s="255"/>
      <c r="F7" s="255"/>
      <c r="G7" s="255"/>
      <c r="H7" s="255"/>
    </row>
    <row r="8" s="21" customFormat="1" ht="12.75">
      <c r="B8" s="25"/>
    </row>
    <row r="9" ht="12.75">
      <c r="A9" s="21"/>
    </row>
    <row r="10" ht="12.75">
      <c r="A10" s="21"/>
    </row>
    <row r="11" spans="1:15" ht="15.75">
      <c r="A11" s="21"/>
      <c r="B11" s="267">
        <v>5.01</v>
      </c>
      <c r="C11" s="29" t="s">
        <v>807</v>
      </c>
      <c r="D11" s="28"/>
      <c r="E11" s="30"/>
      <c r="F11" s="30"/>
      <c r="G11" s="238"/>
      <c r="H11" s="238"/>
      <c r="I11" s="119"/>
      <c r="J11" s="119"/>
      <c r="K11" s="119"/>
      <c r="L11" s="32"/>
      <c r="M11" s="32"/>
      <c r="N11" s="28"/>
      <c r="O11" s="28"/>
    </row>
    <row r="12" spans="1:9" ht="12.75">
      <c r="A12" s="21"/>
      <c r="G12" s="217"/>
      <c r="H12" s="549" t="s">
        <v>270</v>
      </c>
      <c r="I12" s="589"/>
    </row>
    <row r="13" spans="1:15" ht="12.75">
      <c r="A13" s="21"/>
      <c r="D13" s="145"/>
      <c r="E13" s="145"/>
      <c r="F13" s="88"/>
      <c r="G13" s="152"/>
      <c r="H13" s="185"/>
      <c r="I13" s="185" t="s">
        <v>717</v>
      </c>
      <c r="J13" s="185"/>
      <c r="K13" s="185"/>
      <c r="L13" s="186" t="s">
        <v>718</v>
      </c>
      <c r="M13" s="187"/>
      <c r="N13" s="6"/>
      <c r="O13" s="6"/>
    </row>
    <row r="14" spans="1:15" ht="76.5">
      <c r="A14" s="21"/>
      <c r="C14" s="65" t="s">
        <v>634</v>
      </c>
      <c r="D14" s="65" t="s">
        <v>719</v>
      </c>
      <c r="E14" s="65" t="s">
        <v>633</v>
      </c>
      <c r="F14" s="112" t="s">
        <v>688</v>
      </c>
      <c r="G14" s="112" t="s">
        <v>721</v>
      </c>
      <c r="H14" s="106" t="s">
        <v>720</v>
      </c>
      <c r="I14" s="18" t="s">
        <v>643</v>
      </c>
      <c r="J14" s="150" t="s">
        <v>641</v>
      </c>
      <c r="K14" s="18" t="s">
        <v>642</v>
      </c>
      <c r="L14" s="150" t="s">
        <v>644</v>
      </c>
      <c r="M14" s="151" t="s">
        <v>645</v>
      </c>
      <c r="N14" s="106" t="s">
        <v>646</v>
      </c>
      <c r="O14" s="146"/>
    </row>
    <row r="15" spans="1:15" ht="12.75">
      <c r="A15" s="21"/>
      <c r="C15" s="65"/>
      <c r="D15" s="65"/>
      <c r="E15" s="65"/>
      <c r="F15" s="452"/>
      <c r="G15" s="454"/>
      <c r="H15" s="106"/>
      <c r="I15" s="18" t="str">
        <f>'C. Masterfiles'!$D$110</f>
        <v>Euro</v>
      </c>
      <c r="J15" s="18"/>
      <c r="K15" s="18" t="str">
        <f>'C. Masterfiles'!$D$110</f>
        <v>Euro</v>
      </c>
      <c r="L15" s="18"/>
      <c r="M15" s="18" t="str">
        <f>'C. Masterfiles'!$D$110</f>
        <v>Euro</v>
      </c>
      <c r="N15" s="18"/>
      <c r="O15" s="146"/>
    </row>
    <row r="16" spans="1:15" ht="12.75">
      <c r="A16" s="21"/>
      <c r="C16" s="42" t="str">
        <f>'C. Masterfiles'!C53</f>
        <v>N01</v>
      </c>
      <c r="D16" s="42" t="str">
        <f>'C. Masterfiles'!D53</f>
        <v>Remote Access Unit</v>
      </c>
      <c r="E16" s="42" t="str">
        <f>'C. Masterfiles'!E53</f>
        <v>RAU</v>
      </c>
      <c r="F16" s="416">
        <f>'3.Network Design Parameters'!H50</f>
        <v>1250</v>
      </c>
      <c r="G16" s="416" t="str">
        <f>'3.Network Design Parameters'!I50</f>
        <v>Subscribers</v>
      </c>
      <c r="H16" s="416">
        <f>'B. Dashboard'!$F$42</f>
        <v>10</v>
      </c>
      <c r="I16" s="325">
        <v>40000</v>
      </c>
      <c r="J16" s="417">
        <f>'B. Dashboard'!$F$46</f>
        <v>-0.05</v>
      </c>
      <c r="K16" s="417">
        <f>'B. Dashboard'!$F$51</f>
        <v>0.15</v>
      </c>
      <c r="L16" s="417">
        <f>'B. Dashboard'!$F$49</f>
        <v>0.05</v>
      </c>
      <c r="M16" s="417">
        <f>'B. Dashboard'!$F$53</f>
        <v>0.08</v>
      </c>
      <c r="N16" s="417">
        <f>'B. Dashboard'!$F$50</f>
        <v>0.05</v>
      </c>
      <c r="O16" s="147"/>
    </row>
    <row r="17" spans="1:15" ht="12.75">
      <c r="A17" s="21"/>
      <c r="C17" s="42" t="str">
        <f>'C. Masterfiles'!C54</f>
        <v>N02</v>
      </c>
      <c r="D17" s="42" t="str">
        <f>'C. Masterfiles'!D54</f>
        <v>Local Switch</v>
      </c>
      <c r="E17" s="42" t="str">
        <f>'C. Masterfiles'!E54</f>
        <v>LS</v>
      </c>
      <c r="F17" s="416">
        <f>'3.Network Design Parameters'!H51</f>
        <v>1250</v>
      </c>
      <c r="G17" s="416" t="str">
        <f>'3.Network Design Parameters'!I51</f>
        <v>Subscribers</v>
      </c>
      <c r="H17" s="416">
        <f>'B. Dashboard'!$F$42</f>
        <v>10</v>
      </c>
      <c r="I17" s="325">
        <v>50000</v>
      </c>
      <c r="J17" s="417">
        <f>'B. Dashboard'!$F$46</f>
        <v>-0.05</v>
      </c>
      <c r="K17" s="417">
        <f>'B. Dashboard'!$F$51</f>
        <v>0.15</v>
      </c>
      <c r="L17" s="417">
        <f>'B. Dashboard'!$F$49</f>
        <v>0.05</v>
      </c>
      <c r="M17" s="417">
        <f>'B. Dashboard'!$F$53</f>
        <v>0.08</v>
      </c>
      <c r="N17" s="417">
        <f>'B. Dashboard'!$F$50</f>
        <v>0.05</v>
      </c>
      <c r="O17" s="147"/>
    </row>
    <row r="18" spans="1:15" ht="12.75">
      <c r="A18" s="21"/>
      <c r="C18" s="42" t="str">
        <f>'C. Masterfiles'!C55</f>
        <v>N03</v>
      </c>
      <c r="D18" s="42" t="str">
        <f>'C. Masterfiles'!D55</f>
        <v>Tandem Switch</v>
      </c>
      <c r="E18" s="42" t="str">
        <f>'C. Masterfiles'!E55</f>
        <v>TS</v>
      </c>
      <c r="F18" s="416">
        <f>'3.Network Design Parameters'!H52</f>
        <v>1500</v>
      </c>
      <c r="G18" s="416" t="str">
        <f>'3.Network Design Parameters'!I52</f>
        <v>BHE</v>
      </c>
      <c r="H18" s="416">
        <f>'B. Dashboard'!$F$42</f>
        <v>10</v>
      </c>
      <c r="I18" s="325">
        <v>100000</v>
      </c>
      <c r="J18" s="417">
        <f>'B. Dashboard'!$F$46</f>
        <v>-0.05</v>
      </c>
      <c r="K18" s="417">
        <f>'B. Dashboard'!$F$51</f>
        <v>0.15</v>
      </c>
      <c r="L18" s="417">
        <f>'B. Dashboard'!$F$49</f>
        <v>0.05</v>
      </c>
      <c r="M18" s="417">
        <f>'B. Dashboard'!$F$53</f>
        <v>0.08</v>
      </c>
      <c r="N18" s="417">
        <f>'B. Dashboard'!$F$50</f>
        <v>0.05</v>
      </c>
      <c r="O18" s="147"/>
    </row>
    <row r="19" spans="1:15" ht="12.75">
      <c r="A19" s="21"/>
      <c r="C19" s="42" t="str">
        <f>'C. Masterfiles'!C56</f>
        <v>N04</v>
      </c>
      <c r="D19" s="42" t="str">
        <f>'C. Masterfiles'!D56</f>
        <v>International switching centre</v>
      </c>
      <c r="E19" s="42" t="str">
        <f>'C. Masterfiles'!E56</f>
        <v>ISC</v>
      </c>
      <c r="F19" s="416">
        <f>'3.Network Design Parameters'!H53</f>
        <v>10000</v>
      </c>
      <c r="G19" s="416" t="str">
        <f>'3.Network Design Parameters'!I53</f>
        <v>BHE</v>
      </c>
      <c r="H19" s="416">
        <f>'B. Dashboard'!$F$42</f>
        <v>10</v>
      </c>
      <c r="I19" s="325">
        <v>1000000</v>
      </c>
      <c r="J19" s="417">
        <f>'B. Dashboard'!$F$46</f>
        <v>-0.05</v>
      </c>
      <c r="K19" s="417">
        <f>'B. Dashboard'!$F$51</f>
        <v>0.15</v>
      </c>
      <c r="L19" s="417">
        <f>'B. Dashboard'!$F$49</f>
        <v>0.05</v>
      </c>
      <c r="M19" s="417">
        <f>'B. Dashboard'!$F$53</f>
        <v>0.08</v>
      </c>
      <c r="N19" s="417">
        <f>'B. Dashboard'!$F$50</f>
        <v>0.05</v>
      </c>
      <c r="O19" s="147"/>
    </row>
    <row r="20" spans="1:15" ht="12.75">
      <c r="A20" s="21"/>
      <c r="C20" s="42" t="str">
        <f>'C. Masterfiles'!C57</f>
        <v>N05</v>
      </c>
      <c r="D20" s="42" t="str">
        <f>'C. Masterfiles'!D57</f>
        <v>Interconnect gateway</v>
      </c>
      <c r="E20" s="42" t="str">
        <f>'C. Masterfiles'!E57</f>
        <v>IGW</v>
      </c>
      <c r="F20" s="416">
        <f>'3.Network Design Parameters'!H54</f>
        <v>1000000</v>
      </c>
      <c r="G20" s="416" t="str">
        <f>'3.Network Design Parameters'!I54</f>
        <v>Subscribers</v>
      </c>
      <c r="H20" s="416">
        <f>'B. Dashboard'!$F$42</f>
        <v>10</v>
      </c>
      <c r="I20" s="325">
        <v>400000</v>
      </c>
      <c r="J20" s="417">
        <f>'B. Dashboard'!$F$46</f>
        <v>-0.05</v>
      </c>
      <c r="K20" s="417">
        <f>'B. Dashboard'!$F$51</f>
        <v>0.15</v>
      </c>
      <c r="L20" s="417">
        <f>'B. Dashboard'!$F$49</f>
        <v>0.05</v>
      </c>
      <c r="M20" s="417">
        <f>'B. Dashboard'!$F$53</f>
        <v>0.08</v>
      </c>
      <c r="N20" s="417">
        <f>'B. Dashboard'!$F$50</f>
        <v>0.05</v>
      </c>
      <c r="O20" s="147"/>
    </row>
    <row r="21" spans="1:15" ht="12.75">
      <c r="A21" s="21"/>
      <c r="C21" s="42" t="str">
        <f>'C. Masterfiles'!C58</f>
        <v>N06</v>
      </c>
      <c r="D21" s="42" t="str">
        <f>'C. Masterfiles'!D58</f>
        <v>Intelligent network </v>
      </c>
      <c r="E21" s="42" t="str">
        <f>'C. Masterfiles'!E58</f>
        <v>IN</v>
      </c>
      <c r="F21" s="416">
        <f>'3.Network Design Parameters'!H55</f>
        <v>1600000</v>
      </c>
      <c r="G21" s="416" t="str">
        <f>'3.Network Design Parameters'!I55</f>
        <v>Subscribers</v>
      </c>
      <c r="H21" s="416">
        <f>'B. Dashboard'!$F$43</f>
        <v>5</v>
      </c>
      <c r="I21" s="325">
        <v>4000000</v>
      </c>
      <c r="J21" s="417">
        <f>'B. Dashboard'!$F$47</f>
        <v>-0.02</v>
      </c>
      <c r="K21" s="417">
        <f>'B. Dashboard'!$F$51</f>
        <v>0.15</v>
      </c>
      <c r="L21" s="417">
        <f>'B. Dashboard'!$F$49</f>
        <v>0.05</v>
      </c>
      <c r="M21" s="417">
        <f>'B. Dashboard'!$F$54</f>
        <v>0.15</v>
      </c>
      <c r="N21" s="417">
        <f>'B. Dashboard'!$F$50</f>
        <v>0.05</v>
      </c>
      <c r="O21" s="147"/>
    </row>
    <row r="22" spans="1:15" ht="12.75">
      <c r="A22" s="21"/>
      <c r="C22" s="42" t="str">
        <f>'C. Masterfiles'!C59</f>
        <v>N07</v>
      </c>
      <c r="D22" s="42" t="str">
        <f>'C. Masterfiles'!D59</f>
        <v>Retail Billing System</v>
      </c>
      <c r="E22" s="42" t="str">
        <f>'C. Masterfiles'!E59</f>
        <v>RBIL</v>
      </c>
      <c r="F22" s="416">
        <f>'3.Network Design Parameters'!H56</f>
        <v>1600000</v>
      </c>
      <c r="G22" s="416" t="str">
        <f>'3.Network Design Parameters'!I56</f>
        <v>Subscribers</v>
      </c>
      <c r="H22" s="416">
        <f>'B. Dashboard'!$F$43</f>
        <v>5</v>
      </c>
      <c r="I22" s="325">
        <v>2000000</v>
      </c>
      <c r="J22" s="417">
        <f>'B. Dashboard'!$F$47</f>
        <v>-0.02</v>
      </c>
      <c r="K22" s="417">
        <f>'B. Dashboard'!$F$51</f>
        <v>0.15</v>
      </c>
      <c r="L22" s="417">
        <f>'B. Dashboard'!$F$49</f>
        <v>0.05</v>
      </c>
      <c r="M22" s="417">
        <f>'B. Dashboard'!$F$54</f>
        <v>0.15</v>
      </c>
      <c r="N22" s="417">
        <f>'B. Dashboard'!$F$50</f>
        <v>0.05</v>
      </c>
      <c r="O22" s="147"/>
    </row>
    <row r="23" spans="1:28" ht="12.75">
      <c r="A23" s="21"/>
      <c r="C23" s="42" t="str">
        <f>'C. Masterfiles'!C60</f>
        <v>N08</v>
      </c>
      <c r="D23" s="42" t="str">
        <f>'C. Masterfiles'!D60</f>
        <v>Interconnection Billing System</v>
      </c>
      <c r="E23" s="42" t="str">
        <f>'C. Masterfiles'!E60</f>
        <v>IBIL</v>
      </c>
      <c r="F23" s="416">
        <f>'3.Network Design Parameters'!H57</f>
        <v>1600000</v>
      </c>
      <c r="G23" s="416" t="str">
        <f>'3.Network Design Parameters'!I57</f>
        <v>Subscribers</v>
      </c>
      <c r="H23" s="416">
        <f>'B. Dashboard'!$F$43</f>
        <v>5</v>
      </c>
      <c r="I23" s="325">
        <v>1000000</v>
      </c>
      <c r="J23" s="417">
        <f>'B. Dashboard'!$F$47</f>
        <v>-0.02</v>
      </c>
      <c r="K23" s="417">
        <f>'B. Dashboard'!$F$51</f>
        <v>0.15</v>
      </c>
      <c r="L23" s="417">
        <f>'B. Dashboard'!$F$49</f>
        <v>0.05</v>
      </c>
      <c r="M23" s="417">
        <f>'B. Dashboard'!$F$54</f>
        <v>0.15</v>
      </c>
      <c r="N23" s="417">
        <f>'B. Dashboard'!$F$50</f>
        <v>0.05</v>
      </c>
      <c r="O23" s="147"/>
      <c r="AB23" s="246" t="s">
        <v>687</v>
      </c>
    </row>
    <row r="24" spans="1:28" ht="12.75">
      <c r="A24" s="21"/>
      <c r="C24" s="42" t="str">
        <f>'C. Masterfiles'!C61</f>
        <v>N09</v>
      </c>
      <c r="D24" s="42" t="str">
        <f>'C. Masterfiles'!D61</f>
        <v>Network management system</v>
      </c>
      <c r="E24" s="42" t="str">
        <f>'C. Masterfiles'!E61</f>
        <v>NMS</v>
      </c>
      <c r="F24" s="416">
        <f>'3.Network Design Parameters'!H58</f>
        <v>1600000</v>
      </c>
      <c r="G24" s="416" t="str">
        <f>'3.Network Design Parameters'!I58</f>
        <v>Subscribers</v>
      </c>
      <c r="H24" s="416">
        <f>'B. Dashboard'!$F$43</f>
        <v>5</v>
      </c>
      <c r="I24" s="325">
        <v>2000000</v>
      </c>
      <c r="J24" s="417">
        <f>'B. Dashboard'!$F$47</f>
        <v>-0.02</v>
      </c>
      <c r="K24" s="417">
        <f>'B. Dashboard'!$F$51</f>
        <v>0.15</v>
      </c>
      <c r="L24" s="417">
        <f>'B. Dashboard'!$F$49</f>
        <v>0.05</v>
      </c>
      <c r="M24" s="417">
        <f>'B. Dashboard'!$F$54</f>
        <v>0.15</v>
      </c>
      <c r="N24" s="417">
        <f>'B. Dashboard'!$F$50</f>
        <v>0.05</v>
      </c>
      <c r="O24" s="147"/>
      <c r="AB24" s="154">
        <v>27785</v>
      </c>
    </row>
    <row r="25" spans="1:28" ht="12.75">
      <c r="A25" s="21"/>
      <c r="C25" s="42" t="str">
        <f>'C. Masterfiles'!C62</f>
        <v>N10</v>
      </c>
      <c r="D25" s="42" t="str">
        <f>'C. Masterfiles'!D62</f>
        <v>Operational support system</v>
      </c>
      <c r="E25" s="42" t="str">
        <f>'C. Masterfiles'!E62</f>
        <v>OSS</v>
      </c>
      <c r="F25" s="416">
        <f>'3.Network Design Parameters'!H59</f>
        <v>1600000</v>
      </c>
      <c r="G25" s="416" t="str">
        <f>'3.Network Design Parameters'!I59</f>
        <v>Subscribers</v>
      </c>
      <c r="H25" s="416">
        <f>'B. Dashboard'!$F$42</f>
        <v>10</v>
      </c>
      <c r="I25" s="325">
        <v>2000000</v>
      </c>
      <c r="J25" s="417">
        <f>'B. Dashboard'!$F$46</f>
        <v>-0.05</v>
      </c>
      <c r="K25" s="417">
        <f>'B. Dashboard'!$F$51</f>
        <v>0.15</v>
      </c>
      <c r="L25" s="417">
        <f>'B. Dashboard'!$F$49</f>
        <v>0.05</v>
      </c>
      <c r="M25" s="417">
        <f>'B. Dashboard'!$F$53</f>
        <v>0.08</v>
      </c>
      <c r="N25" s="417">
        <f>'B. Dashboard'!$F$50</f>
        <v>0.05</v>
      </c>
      <c r="O25" s="147"/>
      <c r="AB25" s="154">
        <v>28213</v>
      </c>
    </row>
    <row r="26" spans="1:15" ht="12.75">
      <c r="A26" s="21"/>
      <c r="C26" s="42" t="str">
        <f>'C. Masterfiles'!C63</f>
        <v>End</v>
      </c>
      <c r="D26" s="42" t="str">
        <f>'C. Masterfiles'!D63</f>
        <v>End of list</v>
      </c>
      <c r="E26" s="155"/>
      <c r="F26" s="156"/>
      <c r="G26" s="183"/>
      <c r="H26" s="156"/>
      <c r="I26" s="157"/>
      <c r="J26" s="157"/>
      <c r="K26" s="157"/>
      <c r="L26" s="157"/>
      <c r="M26" s="157"/>
      <c r="N26" s="157"/>
      <c r="O26" s="147"/>
    </row>
    <row r="27" spans="1:14" ht="12.75">
      <c r="A27" s="2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47"/>
    </row>
    <row r="28" spans="1:25" ht="12.75">
      <c r="A28" s="2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spans="1:25" ht="12.75">
      <c r="A29" s="2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spans="1:25" ht="12.75">
      <c r="A30" s="2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13" ht="15.75">
      <c r="A31" s="21"/>
      <c r="B31" s="267">
        <f>B11+0.01</f>
        <v>5.02</v>
      </c>
      <c r="C31" s="29" t="s">
        <v>808</v>
      </c>
      <c r="D31" s="28"/>
      <c r="E31" s="30"/>
      <c r="F31" s="30"/>
      <c r="G31" s="119"/>
      <c r="H31" s="119"/>
      <c r="I31" s="119"/>
      <c r="J31" s="119"/>
      <c r="K31" s="119"/>
      <c r="L31" s="32"/>
      <c r="M31" s="32"/>
    </row>
    <row r="32" spans="1:25" ht="12.75">
      <c r="A32" s="2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5.75">
      <c r="A33" s="21"/>
      <c r="C33" s="29" t="s">
        <v>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2.75">
      <c r="A34" s="21"/>
      <c r="C34" s="85"/>
      <c r="D34" s="54"/>
      <c r="E34" s="549" t="s">
        <v>270</v>
      </c>
      <c r="F34" s="589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4" ht="25.5">
      <c r="A35" s="21"/>
      <c r="C35" s="54"/>
      <c r="D35" s="65" t="s">
        <v>719</v>
      </c>
      <c r="E35" s="65" t="s">
        <v>727</v>
      </c>
      <c r="F35" s="106" t="s">
        <v>643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12.75">
      <c r="A36" s="21"/>
      <c r="C36" s="54"/>
      <c r="D36" s="331"/>
      <c r="E36" s="331"/>
      <c r="F36" s="18" t="str">
        <f>'C. Masterfiles'!$D$110</f>
        <v>Euro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21"/>
      <c r="C37" s="54"/>
      <c r="D37" s="42" t="s">
        <v>962</v>
      </c>
      <c r="E37" s="42" t="s">
        <v>4</v>
      </c>
      <c r="F37" s="574">
        <v>1000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21"/>
      <c r="C38" s="54"/>
      <c r="D38" s="42" t="s">
        <v>963</v>
      </c>
      <c r="E38" s="42" t="s">
        <v>4</v>
      </c>
      <c r="F38" s="574">
        <v>2000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21"/>
      <c r="C39" s="54"/>
      <c r="D39" s="42" t="s">
        <v>1</v>
      </c>
      <c r="E39" s="42" t="s">
        <v>4</v>
      </c>
      <c r="F39" s="574">
        <v>4000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21"/>
      <c r="C40" s="54"/>
      <c r="D40" s="42" t="s">
        <v>2</v>
      </c>
      <c r="E40" s="42" t="s">
        <v>4</v>
      </c>
      <c r="F40" s="574">
        <v>8000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21"/>
      <c r="C41" s="54"/>
      <c r="D41" s="42" t="s">
        <v>3</v>
      </c>
      <c r="E41" s="42" t="s">
        <v>5</v>
      </c>
      <c r="F41" s="574">
        <v>4000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21"/>
      <c r="C42" s="54"/>
      <c r="D42" s="547" t="s">
        <v>124</v>
      </c>
      <c r="E42" s="547" t="s">
        <v>116</v>
      </c>
      <c r="F42" s="325">
        <v>1000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21"/>
      <c r="C43" s="54"/>
      <c r="D43" s="547" t="s">
        <v>125</v>
      </c>
      <c r="E43" s="547" t="s">
        <v>116</v>
      </c>
      <c r="F43" s="325">
        <v>1000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21"/>
      <c r="C44" s="54"/>
      <c r="D44" s="155"/>
      <c r="E44" s="155"/>
      <c r="F44" s="15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5" ht="12.75">
      <c r="A45" s="2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 ht="12.75">
      <c r="A46" s="2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 ht="15.75">
      <c r="A47" s="21"/>
      <c r="C47" s="29" t="s">
        <v>115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ht="12.75">
      <c r="A48" s="2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4" ht="12.75">
      <c r="A49" s="21"/>
      <c r="C49" s="65"/>
      <c r="D49" s="65"/>
      <c r="E49" s="65"/>
      <c r="F49" s="700" t="s">
        <v>114</v>
      </c>
      <c r="G49" s="656"/>
      <c r="H49" s="656"/>
      <c r="I49" s="656"/>
      <c r="J49" s="656"/>
      <c r="K49" s="656"/>
      <c r="L49" s="65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21"/>
      <c r="C50" s="65" t="s">
        <v>634</v>
      </c>
      <c r="D50" s="65" t="s">
        <v>719</v>
      </c>
      <c r="E50" s="65" t="s">
        <v>727</v>
      </c>
      <c r="F50" s="544" t="s">
        <v>693</v>
      </c>
      <c r="G50" s="544" t="s">
        <v>106</v>
      </c>
      <c r="H50" s="544" t="s">
        <v>107</v>
      </c>
      <c r="I50" s="544" t="s">
        <v>108</v>
      </c>
      <c r="J50" s="544" t="s">
        <v>950</v>
      </c>
      <c r="K50" s="544" t="s">
        <v>951</v>
      </c>
      <c r="L50" s="544" t="s">
        <v>952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21"/>
      <c r="C51" s="331"/>
      <c r="D51" s="547" t="s">
        <v>113</v>
      </c>
      <c r="E51" s="547" t="s">
        <v>728</v>
      </c>
      <c r="F51" s="333">
        <f>F37</f>
        <v>1000</v>
      </c>
      <c r="G51" s="333">
        <f>4*F37</f>
        <v>4000</v>
      </c>
      <c r="H51" s="333">
        <f>8*F37</f>
        <v>8000</v>
      </c>
      <c r="I51" s="333">
        <f>16*F37</f>
        <v>16000</v>
      </c>
      <c r="J51" s="333">
        <f>F38</f>
        <v>2000</v>
      </c>
      <c r="K51" s="333">
        <f>F39</f>
        <v>4000</v>
      </c>
      <c r="L51" s="333">
        <f>F40</f>
        <v>8000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21"/>
      <c r="C52" s="331"/>
      <c r="D52" s="331"/>
      <c r="E52" s="331"/>
      <c r="F52" s="701" t="s">
        <v>6</v>
      </c>
      <c r="G52" s="656"/>
      <c r="H52" s="656"/>
      <c r="I52" s="656"/>
      <c r="J52" s="656"/>
      <c r="K52" s="656"/>
      <c r="L52" s="65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21"/>
      <c r="C53" s="304" t="str">
        <f>'C. Masterfiles'!C69</f>
        <v>T01</v>
      </c>
      <c r="D53" s="304" t="str">
        <f>'C. Masterfiles'!D69</f>
        <v>Rau-TS</v>
      </c>
      <c r="E53" s="304" t="s">
        <v>728</v>
      </c>
      <c r="F53" s="333">
        <f>('3.Network Design Parameters'!$E146*F$51+'3.Network Design Parameters'!$F146*'5.Unit investment&amp;opex'!$F$41)*'3.Network Design Parameters'!E107</f>
        <v>2000</v>
      </c>
      <c r="G53" s="333">
        <f>('3.Network Design Parameters'!$E146*G$51+'3.Network Design Parameters'!$F146*'5.Unit investment&amp;opex'!$F$41)*'3.Network Design Parameters'!F107</f>
        <v>800</v>
      </c>
      <c r="H53" s="333">
        <f>('3.Network Design Parameters'!$E146*H$51+'3.Network Design Parameters'!$F146*'5.Unit investment&amp;opex'!$F$41)*'3.Network Design Parameters'!G107</f>
        <v>0</v>
      </c>
      <c r="I53" s="333">
        <f>('3.Network Design Parameters'!$E146*I$51+'3.Network Design Parameters'!$F146*'5.Unit investment&amp;opex'!$F$41)*'3.Network Design Parameters'!H107</f>
        <v>0</v>
      </c>
      <c r="J53" s="333">
        <f>J$51*'3.Network Design Parameters'!I107</f>
        <v>0</v>
      </c>
      <c r="K53" s="333">
        <f>K$51*'3.Network Design Parameters'!J107</f>
        <v>0</v>
      </c>
      <c r="L53" s="333">
        <f>L$51*'3.Network Design Parameters'!K107</f>
        <v>0</v>
      </c>
      <c r="M53" s="549" t="s">
        <v>288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21"/>
      <c r="C54" s="304" t="str">
        <f>'C. Masterfiles'!C70</f>
        <v>T02</v>
      </c>
      <c r="D54" s="304" t="str">
        <f>'C. Masterfiles'!D70</f>
        <v>LS-TS</v>
      </c>
      <c r="E54" s="304" t="s">
        <v>728</v>
      </c>
      <c r="F54" s="333">
        <f>('3.Network Design Parameters'!$E147*F$51+'3.Network Design Parameters'!$F147*'5.Unit investment&amp;opex'!$F$41)*'3.Network Design Parameters'!E108</f>
        <v>2272.7272727272725</v>
      </c>
      <c r="G54" s="333">
        <f>('3.Network Design Parameters'!$E147*G$51+'3.Network Design Parameters'!$F147*'5.Unit investment&amp;opex'!$F$41)*'3.Network Design Parameters'!F108</f>
        <v>363.6363636363636</v>
      </c>
      <c r="H54" s="333">
        <f>('3.Network Design Parameters'!$E147*H$51+'3.Network Design Parameters'!$F147*'5.Unit investment&amp;opex'!$F$41)*'3.Network Design Parameters'!G108</f>
        <v>0</v>
      </c>
      <c r="I54" s="333">
        <f>('3.Network Design Parameters'!$E147*I$51+'3.Network Design Parameters'!$F147*'5.Unit investment&amp;opex'!$F$41)*'3.Network Design Parameters'!H108</f>
        <v>0</v>
      </c>
      <c r="J54" s="333">
        <f>J$51*'3.Network Design Parameters'!I108</f>
        <v>0</v>
      </c>
      <c r="K54" s="333">
        <f>K$51*'3.Network Design Parameters'!J108</f>
        <v>0</v>
      </c>
      <c r="L54" s="333">
        <f>L$51*'3.Network Design Parameters'!K108</f>
        <v>0</v>
      </c>
      <c r="M54" s="549" t="s">
        <v>288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21"/>
      <c r="C55" s="304" t="str">
        <f>'C. Masterfiles'!C71</f>
        <v>T03</v>
      </c>
      <c r="D55" s="304" t="str">
        <f>'C. Masterfiles'!D71</f>
        <v>TS-TS</v>
      </c>
      <c r="E55" s="304" t="s">
        <v>728</v>
      </c>
      <c r="F55" s="333">
        <f>('3.Network Design Parameters'!$E148*F$51+'3.Network Design Parameters'!$F148*'5.Unit investment&amp;opex'!$F$41)*'3.Network Design Parameters'!E109</f>
        <v>0</v>
      </c>
      <c r="G55" s="333">
        <f>('3.Network Design Parameters'!$E148*G$51+'3.Network Design Parameters'!$F148*'5.Unit investment&amp;opex'!$F$41)*'3.Network Design Parameters'!F109</f>
        <v>4000</v>
      </c>
      <c r="H55" s="333">
        <f>('3.Network Design Parameters'!$E148*H$51+'3.Network Design Parameters'!$F148*'5.Unit investment&amp;opex'!$F$41)*'3.Network Design Parameters'!G109</f>
        <v>0</v>
      </c>
      <c r="I55" s="333">
        <f>('3.Network Design Parameters'!$E148*I$51+'3.Network Design Parameters'!$F148*'5.Unit investment&amp;opex'!$F$41)*'3.Network Design Parameters'!H109</f>
        <v>0</v>
      </c>
      <c r="J55" s="333">
        <f>J$51*'3.Network Design Parameters'!I109</f>
        <v>0</v>
      </c>
      <c r="K55" s="333">
        <f>K$51*'3.Network Design Parameters'!J109</f>
        <v>0</v>
      </c>
      <c r="L55" s="333">
        <f>L$51*'3.Network Design Parameters'!K109</f>
        <v>0</v>
      </c>
      <c r="M55" s="549" t="s">
        <v>288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21"/>
      <c r="C56" s="304" t="str">
        <f>'C. Masterfiles'!C72</f>
        <v>T04</v>
      </c>
      <c r="D56" s="304" t="str">
        <f>'C. Masterfiles'!D72</f>
        <v>TS-ISC</v>
      </c>
      <c r="E56" s="304" t="s">
        <v>728</v>
      </c>
      <c r="F56" s="333">
        <f>('3.Network Design Parameters'!$E149*F$51+'3.Network Design Parameters'!$F149*'5.Unit investment&amp;opex'!$F$41)*'3.Network Design Parameters'!E110</f>
        <v>0</v>
      </c>
      <c r="G56" s="333">
        <f>('3.Network Design Parameters'!$E149*G$51+'3.Network Design Parameters'!$F149*'5.Unit investment&amp;opex'!$F$41)*'3.Network Design Parameters'!F110</f>
        <v>4000</v>
      </c>
      <c r="H56" s="333">
        <f>('3.Network Design Parameters'!$E149*H$51+'3.Network Design Parameters'!$F149*'5.Unit investment&amp;opex'!$F$41)*'3.Network Design Parameters'!G110</f>
        <v>0</v>
      </c>
      <c r="I56" s="333">
        <f>('3.Network Design Parameters'!$E149*I$51+'3.Network Design Parameters'!$F149*'5.Unit investment&amp;opex'!$F$41)*'3.Network Design Parameters'!H110</f>
        <v>0</v>
      </c>
      <c r="J56" s="333">
        <f>J$51*'3.Network Design Parameters'!I110</f>
        <v>0</v>
      </c>
      <c r="K56" s="333">
        <f>K$51*'3.Network Design Parameters'!J110</f>
        <v>0</v>
      </c>
      <c r="L56" s="333">
        <f>L$51*'3.Network Design Parameters'!K110</f>
        <v>0</v>
      </c>
      <c r="M56" s="549" t="s">
        <v>288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21"/>
      <c r="C57" s="304" t="str">
        <f>'C. Masterfiles'!C73</f>
        <v>T05</v>
      </c>
      <c r="D57" s="304" t="str">
        <f>'C. Masterfiles'!D73</f>
        <v>ISC-ISC</v>
      </c>
      <c r="E57" s="304" t="s">
        <v>728</v>
      </c>
      <c r="F57" s="333">
        <f>('3.Network Design Parameters'!$E150*F$51+'3.Network Design Parameters'!$F150*'5.Unit investment&amp;opex'!$F$41)*'3.Network Design Parameters'!E111</f>
        <v>0</v>
      </c>
      <c r="G57" s="333">
        <f>('3.Network Design Parameters'!$E150*G$51+'3.Network Design Parameters'!$F150*'5.Unit investment&amp;opex'!$F$41)*'3.Network Design Parameters'!F111</f>
        <v>4000</v>
      </c>
      <c r="H57" s="333">
        <f>('3.Network Design Parameters'!$E150*H$51+'3.Network Design Parameters'!$F150*'5.Unit investment&amp;opex'!$F$41)*'3.Network Design Parameters'!G111</f>
        <v>0</v>
      </c>
      <c r="I57" s="333">
        <f>('3.Network Design Parameters'!$E150*I$51+'3.Network Design Parameters'!$F150*'5.Unit investment&amp;opex'!$F$41)*'3.Network Design Parameters'!H111</f>
        <v>0</v>
      </c>
      <c r="J57" s="333">
        <f>J$51*'3.Network Design Parameters'!I111</f>
        <v>0</v>
      </c>
      <c r="K57" s="333">
        <f>K$51*'3.Network Design Parameters'!J111</f>
        <v>0</v>
      </c>
      <c r="L57" s="333">
        <f>L$51*'3.Network Design Parameters'!K111</f>
        <v>0</v>
      </c>
      <c r="M57" s="549" t="s">
        <v>288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21"/>
      <c r="C58" s="304" t="str">
        <f>'C. Masterfiles'!C74</f>
        <v>T06</v>
      </c>
      <c r="D58" s="304" t="str">
        <f>'C. Masterfiles'!D74</f>
        <v>ISC-IN</v>
      </c>
      <c r="E58" s="304" t="s">
        <v>728</v>
      </c>
      <c r="F58" s="333">
        <f>('3.Network Design Parameters'!$E151*F$51+'3.Network Design Parameters'!$F151*'5.Unit investment&amp;opex'!$F$41)*'3.Network Design Parameters'!E112</f>
        <v>0</v>
      </c>
      <c r="G58" s="333">
        <f>('3.Network Design Parameters'!$E151*G$51+'3.Network Design Parameters'!$F151*'5.Unit investment&amp;opex'!$F$41)*'3.Network Design Parameters'!F112</f>
        <v>4000</v>
      </c>
      <c r="H58" s="333">
        <f>('3.Network Design Parameters'!$E151*H$51+'3.Network Design Parameters'!$F151*'5.Unit investment&amp;opex'!$F$41)*'3.Network Design Parameters'!G112</f>
        <v>0</v>
      </c>
      <c r="I58" s="333">
        <f>('3.Network Design Parameters'!$E151*I$51+'3.Network Design Parameters'!$F151*'5.Unit investment&amp;opex'!$F$41)*'3.Network Design Parameters'!H112</f>
        <v>0</v>
      </c>
      <c r="J58" s="333">
        <f>J$51*'3.Network Design Parameters'!I112</f>
        <v>0</v>
      </c>
      <c r="K58" s="333">
        <f>K$51*'3.Network Design Parameters'!J112</f>
        <v>0</v>
      </c>
      <c r="L58" s="333">
        <f>L$51*'3.Network Design Parameters'!K112</f>
        <v>0</v>
      </c>
      <c r="M58" s="549" t="s">
        <v>288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21"/>
      <c r="C59" s="304" t="str">
        <f>'C. Masterfiles'!C75</f>
        <v>T07</v>
      </c>
      <c r="D59" s="304" t="str">
        <f>'C. Masterfiles'!D75</f>
        <v>TS-IN</v>
      </c>
      <c r="E59" s="304" t="s">
        <v>728</v>
      </c>
      <c r="F59" s="333">
        <f>('3.Network Design Parameters'!$E152*F$51+'3.Network Design Parameters'!$F152*'5.Unit investment&amp;opex'!$F$41)*'3.Network Design Parameters'!E113</f>
        <v>0</v>
      </c>
      <c r="G59" s="333">
        <f>('3.Network Design Parameters'!$E152*G$51+'3.Network Design Parameters'!$F152*'5.Unit investment&amp;opex'!$F$41)*'3.Network Design Parameters'!F113</f>
        <v>4000</v>
      </c>
      <c r="H59" s="333">
        <f>('3.Network Design Parameters'!$E152*H$51+'3.Network Design Parameters'!$F152*'5.Unit investment&amp;opex'!$F$41)*'3.Network Design Parameters'!G113</f>
        <v>0</v>
      </c>
      <c r="I59" s="333">
        <f>('3.Network Design Parameters'!$E152*I$51+'3.Network Design Parameters'!$F152*'5.Unit investment&amp;opex'!$F$41)*'3.Network Design Parameters'!H113</f>
        <v>0</v>
      </c>
      <c r="J59" s="333">
        <f>J$51*'3.Network Design Parameters'!I113</f>
        <v>0</v>
      </c>
      <c r="K59" s="333">
        <f>K$51*'3.Network Design Parameters'!J113</f>
        <v>0</v>
      </c>
      <c r="L59" s="333">
        <f>L$51*'3.Network Design Parameters'!K113</f>
        <v>0</v>
      </c>
      <c r="M59" s="549" t="s">
        <v>288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21"/>
      <c r="C60" s="304" t="str">
        <f>'C. Masterfiles'!C76</f>
        <v>T08</v>
      </c>
      <c r="D60" s="304" t="str">
        <f>'C. Masterfiles'!D76</f>
        <v>TS-IGW</v>
      </c>
      <c r="E60" s="304" t="s">
        <v>728</v>
      </c>
      <c r="F60" s="333">
        <f>('3.Network Design Parameters'!$E153*F$51+'3.Network Design Parameters'!$F153*'5.Unit investment&amp;opex'!$F$41)*'3.Network Design Parameters'!E114</f>
        <v>2427.1844660194174</v>
      </c>
      <c r="G60" s="333">
        <f>('3.Network Design Parameters'!$E153*G$51+'3.Network Design Parameters'!$F153*'5.Unit investment&amp;opex'!$F$41)*'3.Network Design Parameters'!F114</f>
        <v>116.50485436893204</v>
      </c>
      <c r="H60" s="333">
        <f>('3.Network Design Parameters'!$E153*H$51+'3.Network Design Parameters'!$F153*'5.Unit investment&amp;opex'!$F$41)*'3.Network Design Parameters'!G114</f>
        <v>0</v>
      </c>
      <c r="I60" s="333">
        <f>('3.Network Design Parameters'!$E153*I$51+'3.Network Design Parameters'!$F153*'5.Unit investment&amp;opex'!$F$41)*'3.Network Design Parameters'!H114</f>
        <v>0</v>
      </c>
      <c r="J60" s="333">
        <f>J$51*'3.Network Design Parameters'!I114</f>
        <v>0</v>
      </c>
      <c r="K60" s="333">
        <f>K$51*'3.Network Design Parameters'!J114</f>
        <v>0</v>
      </c>
      <c r="L60" s="333">
        <f>L$51*'3.Network Design Parameters'!K114</f>
        <v>0</v>
      </c>
      <c r="M60" s="549" t="s">
        <v>288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21"/>
      <c r="C61" s="304" t="str">
        <f>'C. Masterfiles'!C77</f>
        <v>T09</v>
      </c>
      <c r="D61" s="304" t="str">
        <f>'C. Masterfiles'!D77</f>
        <v>LS-LS</v>
      </c>
      <c r="E61" s="304" t="s">
        <v>728</v>
      </c>
      <c r="F61" s="333">
        <f>('3.Network Design Parameters'!$E154*F$51+'3.Network Design Parameters'!$F154*'5.Unit investment&amp;opex'!$F$41)*'3.Network Design Parameters'!E115</f>
        <v>2500</v>
      </c>
      <c r="G61" s="333">
        <f>('3.Network Design Parameters'!$E154*G$51+'3.Network Design Parameters'!$F154*'5.Unit investment&amp;opex'!$F$41)*'3.Network Design Parameters'!F115</f>
        <v>0</v>
      </c>
      <c r="H61" s="333">
        <f>('3.Network Design Parameters'!$E154*H$51+'3.Network Design Parameters'!$F154*'5.Unit investment&amp;opex'!$F$41)*'3.Network Design Parameters'!G115</f>
        <v>0</v>
      </c>
      <c r="I61" s="333">
        <f>('3.Network Design Parameters'!$E154*I$51+'3.Network Design Parameters'!$F154*'5.Unit investment&amp;opex'!$F$41)*'3.Network Design Parameters'!H115</f>
        <v>0</v>
      </c>
      <c r="J61" s="333">
        <f>J$51*'3.Network Design Parameters'!I115</f>
        <v>0</v>
      </c>
      <c r="K61" s="333">
        <f>K$51*'3.Network Design Parameters'!J115</f>
        <v>0</v>
      </c>
      <c r="L61" s="333">
        <f>L$51*'3.Network Design Parameters'!K115</f>
        <v>0</v>
      </c>
      <c r="M61" s="549" t="s">
        <v>288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21"/>
      <c r="C62" s="155"/>
      <c r="D62" s="155"/>
      <c r="E62" s="155"/>
      <c r="F62" s="156"/>
      <c r="G62" s="157"/>
      <c r="H62" s="157"/>
      <c r="I62" s="157"/>
      <c r="J62" s="157"/>
      <c r="K62" s="157"/>
      <c r="L62" s="15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5" ht="12.75">
      <c r="A63" s="2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25" ht="12.75">
      <c r="A64" s="21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 ht="15.75">
      <c r="A65" s="21"/>
      <c r="C65" s="29" t="s">
        <v>128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 ht="12.75">
      <c r="A66" s="2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 ht="76.5">
      <c r="A67" s="21"/>
      <c r="C67" s="65" t="s">
        <v>634</v>
      </c>
      <c r="D67" s="65" t="s">
        <v>719</v>
      </c>
      <c r="E67" s="65" t="s">
        <v>727</v>
      </c>
      <c r="F67" s="106" t="s">
        <v>720</v>
      </c>
      <c r="G67" s="18" t="s">
        <v>643</v>
      </c>
      <c r="H67" s="18" t="s">
        <v>641</v>
      </c>
      <c r="I67" s="18" t="s">
        <v>642</v>
      </c>
      <c r="J67" s="18" t="s">
        <v>644</v>
      </c>
      <c r="K67" s="18" t="s">
        <v>645</v>
      </c>
      <c r="L67" s="106" t="s">
        <v>646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ht="12.75">
      <c r="A68" s="21"/>
      <c r="C68" s="331"/>
      <c r="D68" s="331"/>
      <c r="E68" s="331"/>
      <c r="F68" s="221"/>
      <c r="G68" s="18" t="str">
        <f>'C. Masterfiles'!$D$110</f>
        <v>Euro</v>
      </c>
      <c r="H68" s="18"/>
      <c r="I68" s="18" t="str">
        <f>'C. Masterfiles'!$D$110</f>
        <v>Euro</v>
      </c>
      <c r="J68" s="18"/>
      <c r="K68" s="18" t="str">
        <f>'C. Masterfiles'!$D$110</f>
        <v>Euro</v>
      </c>
      <c r="L68" s="18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ht="12.75">
      <c r="A69" s="21"/>
      <c r="C69" s="304" t="str">
        <f aca="true" t="shared" si="0" ref="C69:D78">C85</f>
        <v>T01</v>
      </c>
      <c r="D69" s="304" t="str">
        <f t="shared" si="0"/>
        <v>Rau-TS</v>
      </c>
      <c r="E69" s="545" t="s">
        <v>728</v>
      </c>
      <c r="F69" s="431">
        <f>'B. Dashboard'!F$44</f>
        <v>15</v>
      </c>
      <c r="G69" s="333">
        <f>('3.Network Design Parameters'!E146*F$42+'3.Network Design Parameters'!F146*F$43)*'3.Network Design Parameters'!G133</f>
        <v>8000</v>
      </c>
      <c r="H69" s="417">
        <f>'B. Dashboard'!F$46</f>
        <v>-0.05</v>
      </c>
      <c r="I69" s="417">
        <f>'B. Dashboard'!$F$52</f>
        <v>0.12</v>
      </c>
      <c r="J69" s="417">
        <f>'B. Dashboard'!F$48</f>
        <v>-0.05</v>
      </c>
      <c r="K69" s="417">
        <f>'B. Dashboard'!$F$55</f>
        <v>0.06</v>
      </c>
      <c r="L69" s="417">
        <f>'B. Dashboard'!F$48</f>
        <v>-0.05</v>
      </c>
      <c r="M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ht="12.75">
      <c r="A70" s="21"/>
      <c r="C70" s="304" t="str">
        <f t="shared" si="0"/>
        <v>T02</v>
      </c>
      <c r="D70" s="304" t="str">
        <f t="shared" si="0"/>
        <v>LS-TS</v>
      </c>
      <c r="E70" s="545" t="s">
        <v>728</v>
      </c>
      <c r="F70" s="431">
        <f>'B. Dashboard'!F$44</f>
        <v>15</v>
      </c>
      <c r="G70" s="333">
        <f>('3.Network Design Parameters'!E147*F$42+'3.Network Design Parameters'!F147*F$43)*'3.Network Design Parameters'!G134</f>
        <v>7272.727272727272</v>
      </c>
      <c r="H70" s="417">
        <f>'B. Dashboard'!F$46</f>
        <v>-0.05</v>
      </c>
      <c r="I70" s="417">
        <f>'B. Dashboard'!$F$52</f>
        <v>0.12</v>
      </c>
      <c r="J70" s="417">
        <f>'B. Dashboard'!F$48</f>
        <v>-0.05</v>
      </c>
      <c r="K70" s="417">
        <f>'B. Dashboard'!$F$55</f>
        <v>0.06</v>
      </c>
      <c r="L70" s="417">
        <f>'B. Dashboard'!F$48</f>
        <v>-0.05</v>
      </c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 ht="12.75">
      <c r="A71" s="21"/>
      <c r="C71" s="304" t="str">
        <f t="shared" si="0"/>
        <v>T03</v>
      </c>
      <c r="D71" s="304" t="str">
        <f t="shared" si="0"/>
        <v>TS-TS</v>
      </c>
      <c r="E71" s="545" t="s">
        <v>728</v>
      </c>
      <c r="F71" s="431">
        <f>'B. Dashboard'!F$44</f>
        <v>15</v>
      </c>
      <c r="G71" s="333">
        <f>('3.Network Design Parameters'!E148*F$42+'3.Network Design Parameters'!F148*F$43)*'3.Network Design Parameters'!G135</f>
        <v>250000</v>
      </c>
      <c r="H71" s="417">
        <f>'B. Dashboard'!F$46</f>
        <v>-0.05</v>
      </c>
      <c r="I71" s="417">
        <f>'B. Dashboard'!$F$52</f>
        <v>0.12</v>
      </c>
      <c r="J71" s="417">
        <f>'B. Dashboard'!F$48</f>
        <v>-0.05</v>
      </c>
      <c r="K71" s="417">
        <f>'B. Dashboard'!$F$55</f>
        <v>0.06</v>
      </c>
      <c r="L71" s="417">
        <f>'B. Dashboard'!F$48</f>
        <v>-0.05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 ht="12.75">
      <c r="A72" s="21"/>
      <c r="C72" s="304" t="str">
        <f t="shared" si="0"/>
        <v>T04</v>
      </c>
      <c r="D72" s="304" t="str">
        <f t="shared" si="0"/>
        <v>TS-ISC</v>
      </c>
      <c r="E72" s="545" t="s">
        <v>728</v>
      </c>
      <c r="F72" s="431">
        <f>'B. Dashboard'!F$44</f>
        <v>15</v>
      </c>
      <c r="G72" s="333">
        <f>('3.Network Design Parameters'!E149*F$42+'3.Network Design Parameters'!F149*F$43)*'3.Network Design Parameters'!G136</f>
        <v>250000</v>
      </c>
      <c r="H72" s="417">
        <f>'B. Dashboard'!F$46</f>
        <v>-0.05</v>
      </c>
      <c r="I72" s="417">
        <f>'B. Dashboard'!$F$52</f>
        <v>0.12</v>
      </c>
      <c r="J72" s="417">
        <f>'B. Dashboard'!F$48</f>
        <v>-0.05</v>
      </c>
      <c r="K72" s="417">
        <f>'B. Dashboard'!$F$55</f>
        <v>0.06</v>
      </c>
      <c r="L72" s="417">
        <f>'B. Dashboard'!F$48</f>
        <v>-0.05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 ht="12.75">
      <c r="A73" s="21"/>
      <c r="C73" s="304" t="str">
        <f t="shared" si="0"/>
        <v>T05</v>
      </c>
      <c r="D73" s="304" t="str">
        <f t="shared" si="0"/>
        <v>ISC-ISC</v>
      </c>
      <c r="E73" s="545" t="s">
        <v>728</v>
      </c>
      <c r="F73" s="431">
        <f>'B. Dashboard'!F$44</f>
        <v>15</v>
      </c>
      <c r="G73" s="333">
        <f>('3.Network Design Parameters'!E150*F$42+'3.Network Design Parameters'!F150*F$43)*'3.Network Design Parameters'!G137</f>
        <v>50000</v>
      </c>
      <c r="H73" s="417">
        <f>'B. Dashboard'!F$46</f>
        <v>-0.05</v>
      </c>
      <c r="I73" s="417">
        <f>'B. Dashboard'!$F$52</f>
        <v>0.12</v>
      </c>
      <c r="J73" s="417">
        <f>'B. Dashboard'!F$48</f>
        <v>-0.05</v>
      </c>
      <c r="K73" s="417">
        <f>'B. Dashboard'!$F$55</f>
        <v>0.06</v>
      </c>
      <c r="L73" s="417">
        <f>'B. Dashboard'!F$48</f>
        <v>-0.05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 ht="12.75">
      <c r="A74" s="21"/>
      <c r="C74" s="304" t="str">
        <f t="shared" si="0"/>
        <v>T06</v>
      </c>
      <c r="D74" s="304" t="str">
        <f t="shared" si="0"/>
        <v>ISC-IN</v>
      </c>
      <c r="E74" s="545" t="s">
        <v>728</v>
      </c>
      <c r="F74" s="431">
        <f>'B. Dashboard'!F$44</f>
        <v>15</v>
      </c>
      <c r="G74" s="333">
        <f>('3.Network Design Parameters'!E151*F$42+'3.Network Design Parameters'!F151*F$43)*'3.Network Design Parameters'!G138</f>
        <v>500</v>
      </c>
      <c r="H74" s="417">
        <f>'B. Dashboard'!F$46</f>
        <v>-0.05</v>
      </c>
      <c r="I74" s="417">
        <f>'B. Dashboard'!$F$52</f>
        <v>0.12</v>
      </c>
      <c r="J74" s="417">
        <f>'B. Dashboard'!F$48</f>
        <v>-0.05</v>
      </c>
      <c r="K74" s="417">
        <f>'B. Dashboard'!$F$55</f>
        <v>0.06</v>
      </c>
      <c r="L74" s="417">
        <f>'B. Dashboard'!F$48</f>
        <v>-0.05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spans="1:25" ht="12.75">
      <c r="A75" s="21"/>
      <c r="C75" s="304" t="str">
        <f t="shared" si="0"/>
        <v>T07</v>
      </c>
      <c r="D75" s="304" t="str">
        <f t="shared" si="0"/>
        <v>TS-IN</v>
      </c>
      <c r="E75" s="545" t="s">
        <v>728</v>
      </c>
      <c r="F75" s="431">
        <f>'B. Dashboard'!F$44</f>
        <v>15</v>
      </c>
      <c r="G75" s="333">
        <f>('3.Network Design Parameters'!E152*F$42+'3.Network Design Parameters'!F152*F$43)*'3.Network Design Parameters'!G139</f>
        <v>333.3333333333333</v>
      </c>
      <c r="H75" s="417">
        <f>'B. Dashboard'!F$46</f>
        <v>-0.05</v>
      </c>
      <c r="I75" s="417">
        <f>'B. Dashboard'!$F$52</f>
        <v>0.12</v>
      </c>
      <c r="J75" s="417">
        <f>'B. Dashboard'!F$48</f>
        <v>-0.05</v>
      </c>
      <c r="K75" s="417">
        <f>'B. Dashboard'!$F$55</f>
        <v>0.06</v>
      </c>
      <c r="L75" s="417">
        <f>'B. Dashboard'!F$48</f>
        <v>-0.05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spans="1:25" ht="12.75">
      <c r="A76" s="21"/>
      <c r="C76" s="304" t="str">
        <f t="shared" si="0"/>
        <v>T08</v>
      </c>
      <c r="D76" s="304" t="str">
        <f t="shared" si="0"/>
        <v>TS-IGW</v>
      </c>
      <c r="E76" s="545" t="s">
        <v>728</v>
      </c>
      <c r="F76" s="431">
        <f>'B. Dashboard'!F$44</f>
        <v>15</v>
      </c>
      <c r="G76" s="333">
        <f>('3.Network Design Parameters'!E153*F$42+'3.Network Design Parameters'!F153*F$43)*'3.Network Design Parameters'!G140</f>
        <v>4.854368932038835</v>
      </c>
      <c r="H76" s="417">
        <f>'B. Dashboard'!F$46</f>
        <v>-0.05</v>
      </c>
      <c r="I76" s="417">
        <f>'B. Dashboard'!$F$52</f>
        <v>0.12</v>
      </c>
      <c r="J76" s="417">
        <f>'B. Dashboard'!F$48</f>
        <v>-0.05</v>
      </c>
      <c r="K76" s="417">
        <f>'B. Dashboard'!$F$55</f>
        <v>0.06</v>
      </c>
      <c r="L76" s="417">
        <f>'B. Dashboard'!F$48</f>
        <v>-0.05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 ht="12.75">
      <c r="A77" s="21"/>
      <c r="C77" s="304" t="str">
        <f t="shared" si="0"/>
        <v>T09</v>
      </c>
      <c r="D77" s="304" t="str">
        <f t="shared" si="0"/>
        <v>LS-LS</v>
      </c>
      <c r="E77" s="545" t="s">
        <v>728</v>
      </c>
      <c r="F77" s="431">
        <f>'B. Dashboard'!F$44</f>
        <v>15</v>
      </c>
      <c r="G77" s="333">
        <f>('3.Network Design Parameters'!E154*F$42+'3.Network Design Parameters'!F154*F$43)*'3.Network Design Parameters'!G141</f>
        <v>20</v>
      </c>
      <c r="H77" s="417">
        <f>'B. Dashboard'!F$46</f>
        <v>-0.05</v>
      </c>
      <c r="I77" s="417">
        <f>'B. Dashboard'!$F$52</f>
        <v>0.12</v>
      </c>
      <c r="J77" s="417">
        <f>'B. Dashboard'!F$48</f>
        <v>-0.05</v>
      </c>
      <c r="K77" s="417">
        <f>'B. Dashboard'!$F$55</f>
        <v>0.06</v>
      </c>
      <c r="L77" s="417">
        <f>'B. Dashboard'!F$48</f>
        <v>-0.05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:14" ht="12.75">
      <c r="A78" s="21"/>
      <c r="C78" s="304" t="str">
        <f t="shared" si="0"/>
        <v>End</v>
      </c>
      <c r="D78" s="304" t="str">
        <f t="shared" si="0"/>
        <v>End of list</v>
      </c>
      <c r="E78" s="155"/>
      <c r="F78" s="155"/>
      <c r="G78" s="156"/>
      <c r="H78" s="157"/>
      <c r="I78" s="157"/>
      <c r="J78" s="157"/>
      <c r="K78" s="157"/>
      <c r="L78" s="157"/>
      <c r="M78" s="54"/>
      <c r="N78" s="54"/>
    </row>
    <row r="79" spans="1:15" ht="15">
      <c r="A79" s="21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28"/>
    </row>
    <row r="80" spans="1:10" ht="12.75">
      <c r="A80" s="21"/>
      <c r="B80" s="268"/>
      <c r="C80" s="268"/>
      <c r="D80" s="268"/>
      <c r="E80" s="326"/>
      <c r="F80" s="327"/>
      <c r="G80" s="327"/>
      <c r="H80" s="327"/>
      <c r="I80" s="327"/>
      <c r="J80" s="327"/>
    </row>
    <row r="81" spans="1:25" ht="15.75">
      <c r="A81" s="21"/>
      <c r="C81" s="29" t="s">
        <v>129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spans="1:25" ht="12.75">
      <c r="A82" s="21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spans="1:25" ht="76.5">
      <c r="A83" s="21"/>
      <c r="C83" s="65" t="s">
        <v>634</v>
      </c>
      <c r="D83" s="65" t="s">
        <v>719</v>
      </c>
      <c r="E83" s="65" t="s">
        <v>727</v>
      </c>
      <c r="F83" s="106" t="s">
        <v>720</v>
      </c>
      <c r="G83" s="18" t="s">
        <v>643</v>
      </c>
      <c r="H83" s="18" t="s">
        <v>641</v>
      </c>
      <c r="I83" s="18" t="s">
        <v>642</v>
      </c>
      <c r="J83" s="18" t="s">
        <v>644</v>
      </c>
      <c r="K83" s="18" t="s">
        <v>645</v>
      </c>
      <c r="L83" s="106" t="s">
        <v>646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 ht="12.75">
      <c r="A84" s="21"/>
      <c r="C84" s="331"/>
      <c r="D84" s="331"/>
      <c r="E84" s="331"/>
      <c r="F84" s="221"/>
      <c r="G84" s="18" t="str">
        <f>'C. Masterfiles'!$D$110</f>
        <v>Euro</v>
      </c>
      <c r="H84" s="18"/>
      <c r="I84" s="18" t="str">
        <f>'C. Masterfiles'!$D$110</f>
        <v>Euro</v>
      </c>
      <c r="J84" s="18"/>
      <c r="K84" s="18" t="str">
        <f>'C. Masterfiles'!$D$110</f>
        <v>Euro</v>
      </c>
      <c r="L84" s="18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.75">
      <c r="A85" s="21"/>
      <c r="C85" s="304" t="str">
        <f>'C. Masterfiles'!C69</f>
        <v>T01</v>
      </c>
      <c r="D85" s="304" t="str">
        <f>'C. Masterfiles'!D69</f>
        <v>Rau-TS</v>
      </c>
      <c r="E85" s="304" t="s">
        <v>728</v>
      </c>
      <c r="F85" s="431">
        <f>'B. Dashboard'!F$44</f>
        <v>15</v>
      </c>
      <c r="G85" s="333">
        <f>SUM(F53:L53)+G69</f>
        <v>10800</v>
      </c>
      <c r="H85" s="417">
        <f>'B. Dashboard'!F$46</f>
        <v>-0.05</v>
      </c>
      <c r="I85" s="417">
        <f>'B. Dashboard'!$F$52</f>
        <v>0.12</v>
      </c>
      <c r="J85" s="417">
        <f>'B. Dashboard'!F$48</f>
        <v>-0.05</v>
      </c>
      <c r="K85" s="417">
        <f>'B. Dashboard'!$F$55</f>
        <v>0.06</v>
      </c>
      <c r="L85" s="417">
        <f>'B. Dashboard'!F$48</f>
        <v>-0.05</v>
      </c>
      <c r="M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 ht="12.75">
      <c r="A86" s="21"/>
      <c r="C86" s="304" t="str">
        <f>'C. Masterfiles'!C70</f>
        <v>T02</v>
      </c>
      <c r="D86" s="304" t="str">
        <f>'C. Masterfiles'!D70</f>
        <v>LS-TS</v>
      </c>
      <c r="E86" s="304" t="s">
        <v>728</v>
      </c>
      <c r="F86" s="431">
        <f>'B. Dashboard'!F$44</f>
        <v>15</v>
      </c>
      <c r="G86" s="333">
        <f aca="true" t="shared" si="1" ref="G86:G93">SUM(F54:L54)+G70</f>
        <v>9909.090909090908</v>
      </c>
      <c r="H86" s="417">
        <f>'B. Dashboard'!F$46</f>
        <v>-0.05</v>
      </c>
      <c r="I86" s="417">
        <f>'B. Dashboard'!$F$52</f>
        <v>0.12</v>
      </c>
      <c r="J86" s="417">
        <f>'B. Dashboard'!F$48</f>
        <v>-0.05</v>
      </c>
      <c r="K86" s="417">
        <f>'B. Dashboard'!$F$55</f>
        <v>0.06</v>
      </c>
      <c r="L86" s="417">
        <f>'B. Dashboard'!F$48</f>
        <v>-0.05</v>
      </c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 ht="12.75">
      <c r="A87" s="21"/>
      <c r="C87" s="304" t="str">
        <f>'C. Masterfiles'!C71</f>
        <v>T03</v>
      </c>
      <c r="D87" s="304" t="str">
        <f>'C. Masterfiles'!D71</f>
        <v>TS-TS</v>
      </c>
      <c r="E87" s="304" t="s">
        <v>728</v>
      </c>
      <c r="F87" s="431">
        <f>'B. Dashboard'!F$44</f>
        <v>15</v>
      </c>
      <c r="G87" s="333">
        <f t="shared" si="1"/>
        <v>254000</v>
      </c>
      <c r="H87" s="417">
        <f>'B. Dashboard'!F$46</f>
        <v>-0.05</v>
      </c>
      <c r="I87" s="417">
        <f>'B. Dashboard'!$F$52</f>
        <v>0.12</v>
      </c>
      <c r="J87" s="417">
        <f>'B. Dashboard'!F$48</f>
        <v>-0.05</v>
      </c>
      <c r="K87" s="417">
        <f>'B. Dashboard'!$F$55</f>
        <v>0.06</v>
      </c>
      <c r="L87" s="417">
        <f>'B. Dashboard'!F$48</f>
        <v>-0.05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2.75">
      <c r="A88" s="21"/>
      <c r="C88" s="304" t="str">
        <f>'C. Masterfiles'!C72</f>
        <v>T04</v>
      </c>
      <c r="D88" s="304" t="str">
        <f>'C. Masterfiles'!D72</f>
        <v>TS-ISC</v>
      </c>
      <c r="E88" s="304" t="s">
        <v>728</v>
      </c>
      <c r="F88" s="431">
        <f>'B. Dashboard'!F$44</f>
        <v>15</v>
      </c>
      <c r="G88" s="333">
        <f t="shared" si="1"/>
        <v>254000</v>
      </c>
      <c r="H88" s="417">
        <f>'B. Dashboard'!F$46</f>
        <v>-0.05</v>
      </c>
      <c r="I88" s="417">
        <f>'B. Dashboard'!$F$52</f>
        <v>0.12</v>
      </c>
      <c r="J88" s="417">
        <f>'B. Dashboard'!F$48</f>
        <v>-0.05</v>
      </c>
      <c r="K88" s="417">
        <f>'B. Dashboard'!$F$55</f>
        <v>0.06</v>
      </c>
      <c r="L88" s="417">
        <f>'B. Dashboard'!F$48</f>
        <v>-0.05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.75">
      <c r="A89" s="21"/>
      <c r="C89" s="304" t="str">
        <f>'C. Masterfiles'!C73</f>
        <v>T05</v>
      </c>
      <c r="D89" s="304" t="str">
        <f>'C. Masterfiles'!D73</f>
        <v>ISC-ISC</v>
      </c>
      <c r="E89" s="304" t="s">
        <v>728</v>
      </c>
      <c r="F89" s="431">
        <f>'B. Dashboard'!F$44</f>
        <v>15</v>
      </c>
      <c r="G89" s="333">
        <f t="shared" si="1"/>
        <v>54000</v>
      </c>
      <c r="H89" s="417">
        <f>'B. Dashboard'!F$46</f>
        <v>-0.05</v>
      </c>
      <c r="I89" s="417">
        <f>'B. Dashboard'!$F$52</f>
        <v>0.12</v>
      </c>
      <c r="J89" s="417">
        <f>'B. Dashboard'!F$48</f>
        <v>-0.05</v>
      </c>
      <c r="K89" s="417">
        <f>'B. Dashboard'!$F$55</f>
        <v>0.06</v>
      </c>
      <c r="L89" s="417">
        <f>'B. Dashboard'!F$48</f>
        <v>-0.05</v>
      </c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.75">
      <c r="A90" s="21"/>
      <c r="C90" s="304" t="str">
        <f>'C. Masterfiles'!C74</f>
        <v>T06</v>
      </c>
      <c r="D90" s="304" t="str">
        <f>'C. Masterfiles'!D74</f>
        <v>ISC-IN</v>
      </c>
      <c r="E90" s="304" t="s">
        <v>728</v>
      </c>
      <c r="F90" s="431">
        <f>'B. Dashboard'!F$44</f>
        <v>15</v>
      </c>
      <c r="G90" s="333">
        <f t="shared" si="1"/>
        <v>4500</v>
      </c>
      <c r="H90" s="417">
        <f>'B. Dashboard'!F$46</f>
        <v>-0.05</v>
      </c>
      <c r="I90" s="417">
        <f>'B. Dashboard'!$F$52</f>
        <v>0.12</v>
      </c>
      <c r="J90" s="417">
        <f>'B. Dashboard'!F$48</f>
        <v>-0.05</v>
      </c>
      <c r="K90" s="417">
        <f>'B. Dashboard'!$F$55</f>
        <v>0.06</v>
      </c>
      <c r="L90" s="417">
        <f>'B. Dashboard'!F$48</f>
        <v>-0.05</v>
      </c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.75">
      <c r="A91" s="21"/>
      <c r="C91" s="304" t="str">
        <f>'C. Masterfiles'!C75</f>
        <v>T07</v>
      </c>
      <c r="D91" s="304" t="str">
        <f>'C. Masterfiles'!D75</f>
        <v>TS-IN</v>
      </c>
      <c r="E91" s="304" t="s">
        <v>728</v>
      </c>
      <c r="F91" s="431">
        <f>'B. Dashboard'!F$44</f>
        <v>15</v>
      </c>
      <c r="G91" s="333">
        <f t="shared" si="1"/>
        <v>4333.333333333333</v>
      </c>
      <c r="H91" s="417">
        <f>'B. Dashboard'!F$46</f>
        <v>-0.05</v>
      </c>
      <c r="I91" s="417">
        <f>'B. Dashboard'!$F$52</f>
        <v>0.12</v>
      </c>
      <c r="J91" s="417">
        <f>'B. Dashboard'!F$48</f>
        <v>-0.05</v>
      </c>
      <c r="K91" s="417">
        <f>'B. Dashboard'!$F$55</f>
        <v>0.06</v>
      </c>
      <c r="L91" s="417">
        <f>'B. Dashboard'!F$48</f>
        <v>-0.05</v>
      </c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2.75">
      <c r="A92" s="21"/>
      <c r="C92" s="304" t="str">
        <f>'C. Masterfiles'!C76</f>
        <v>T08</v>
      </c>
      <c r="D92" s="304" t="str">
        <f>'C. Masterfiles'!D76</f>
        <v>TS-IGW</v>
      </c>
      <c r="E92" s="304" t="s">
        <v>728</v>
      </c>
      <c r="F92" s="431">
        <f>'B. Dashboard'!F$44</f>
        <v>15</v>
      </c>
      <c r="G92" s="333">
        <f t="shared" si="1"/>
        <v>2548.5436893203887</v>
      </c>
      <c r="H92" s="417">
        <f>'B. Dashboard'!F$46</f>
        <v>-0.05</v>
      </c>
      <c r="I92" s="417">
        <f>'B. Dashboard'!$F$52</f>
        <v>0.12</v>
      </c>
      <c r="J92" s="417">
        <f>'B. Dashboard'!F$48</f>
        <v>-0.05</v>
      </c>
      <c r="K92" s="417">
        <f>'B. Dashboard'!$F$55</f>
        <v>0.06</v>
      </c>
      <c r="L92" s="417">
        <f>'B. Dashboard'!F$48</f>
        <v>-0.05</v>
      </c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.75">
      <c r="A93" s="21"/>
      <c r="C93" s="304" t="str">
        <f>'C. Masterfiles'!C77</f>
        <v>T09</v>
      </c>
      <c r="D93" s="304" t="str">
        <f>'C. Masterfiles'!D77</f>
        <v>LS-LS</v>
      </c>
      <c r="E93" s="304" t="s">
        <v>728</v>
      </c>
      <c r="F93" s="431">
        <f>'B. Dashboard'!F$44</f>
        <v>15</v>
      </c>
      <c r="G93" s="333">
        <f t="shared" si="1"/>
        <v>2520</v>
      </c>
      <c r="H93" s="417">
        <f>'B. Dashboard'!F$46</f>
        <v>-0.05</v>
      </c>
      <c r="I93" s="417">
        <f>'B. Dashboard'!$F$52</f>
        <v>0.12</v>
      </c>
      <c r="J93" s="417">
        <f>'B. Dashboard'!F$48</f>
        <v>-0.05</v>
      </c>
      <c r="K93" s="417">
        <f>'B. Dashboard'!$F$55</f>
        <v>0.06</v>
      </c>
      <c r="L93" s="417">
        <f>'B. Dashboard'!F$48</f>
        <v>-0.05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14" ht="12.75">
      <c r="A94" s="21"/>
      <c r="C94" s="304" t="str">
        <f>'C. Masterfiles'!C78</f>
        <v>End</v>
      </c>
      <c r="D94" s="304" t="str">
        <f>'C. Masterfiles'!D78</f>
        <v>End of list</v>
      </c>
      <c r="E94" s="155"/>
      <c r="F94" s="155"/>
      <c r="G94" s="156"/>
      <c r="H94" s="157"/>
      <c r="I94" s="157"/>
      <c r="J94" s="157"/>
      <c r="K94" s="157"/>
      <c r="L94" s="157"/>
      <c r="M94" s="54"/>
      <c r="N94" s="54"/>
    </row>
    <row r="95" spans="1:25" ht="12.75">
      <c r="A95" s="21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ht="12.75">
      <c r="A96" s="21"/>
    </row>
    <row r="97" spans="1:3" ht="15.75">
      <c r="A97" s="21"/>
      <c r="B97" s="328">
        <f>B31+0.01</f>
        <v>5.029999999999999</v>
      </c>
      <c r="C97" s="153" t="s">
        <v>734</v>
      </c>
    </row>
    <row r="98" ht="12.75">
      <c r="A98" s="21"/>
    </row>
    <row r="99" spans="1:26" ht="12.75">
      <c r="A99" s="21"/>
      <c r="C99" s="702" t="s">
        <v>735</v>
      </c>
      <c r="D99" s="695"/>
      <c r="E99" s="695"/>
      <c r="F99" s="696"/>
      <c r="G99" s="188"/>
      <c r="H99" s="189"/>
      <c r="I99" s="190" t="s">
        <v>717</v>
      </c>
      <c r="J99" s="191"/>
      <c r="K99" s="192"/>
      <c r="L99" s="193"/>
      <c r="M99" s="194"/>
      <c r="N99" s="195" t="s">
        <v>747</v>
      </c>
      <c r="O99" s="196"/>
      <c r="P99" s="197"/>
      <c r="Q99" s="171"/>
      <c r="R99" s="172"/>
      <c r="S99" s="198" t="s">
        <v>748</v>
      </c>
      <c r="T99" s="173"/>
      <c r="U99" s="174"/>
      <c r="V99" s="168"/>
      <c r="W99" s="169"/>
      <c r="X99" s="182" t="s">
        <v>739</v>
      </c>
      <c r="Y99" s="181"/>
      <c r="Z99" s="170"/>
    </row>
    <row r="100" spans="1:26" ht="12.75">
      <c r="A100" s="21"/>
      <c r="C100" s="697"/>
      <c r="D100" s="698"/>
      <c r="E100" s="698"/>
      <c r="F100" s="699"/>
      <c r="G100" s="178">
        <v>5</v>
      </c>
      <c r="H100" s="179">
        <f aca="true" t="shared" si="2" ref="H100:Z100">G100+1</f>
        <v>6</v>
      </c>
      <c r="I100" s="179">
        <f t="shared" si="2"/>
        <v>7</v>
      </c>
      <c r="J100" s="179">
        <f t="shared" si="2"/>
        <v>8</v>
      </c>
      <c r="K100" s="180">
        <f t="shared" si="2"/>
        <v>9</v>
      </c>
      <c r="L100" s="175">
        <f t="shared" si="2"/>
        <v>10</v>
      </c>
      <c r="M100" s="176">
        <f t="shared" si="2"/>
        <v>11</v>
      </c>
      <c r="N100" s="176">
        <f t="shared" si="2"/>
        <v>12</v>
      </c>
      <c r="O100" s="176">
        <f t="shared" si="2"/>
        <v>13</v>
      </c>
      <c r="P100" s="177">
        <f t="shared" si="2"/>
        <v>14</v>
      </c>
      <c r="Q100" s="175">
        <f t="shared" si="2"/>
        <v>15</v>
      </c>
      <c r="R100" s="176">
        <f t="shared" si="2"/>
        <v>16</v>
      </c>
      <c r="S100" s="176">
        <f t="shared" si="2"/>
        <v>17</v>
      </c>
      <c r="T100" s="176">
        <f t="shared" si="2"/>
        <v>18</v>
      </c>
      <c r="U100" s="177">
        <f t="shared" si="2"/>
        <v>19</v>
      </c>
      <c r="V100" s="175">
        <f t="shared" si="2"/>
        <v>20</v>
      </c>
      <c r="W100" s="176">
        <f t="shared" si="2"/>
        <v>21</v>
      </c>
      <c r="X100" s="176">
        <f t="shared" si="2"/>
        <v>22</v>
      </c>
      <c r="Y100" s="176">
        <f t="shared" si="2"/>
        <v>23</v>
      </c>
      <c r="Z100" s="177">
        <f t="shared" si="2"/>
        <v>24</v>
      </c>
    </row>
    <row r="101" spans="1:26" ht="52.5" customHeight="1">
      <c r="A101" s="21"/>
      <c r="C101" s="65" t="s">
        <v>634</v>
      </c>
      <c r="D101" s="65" t="s">
        <v>719</v>
      </c>
      <c r="E101" s="65" t="s">
        <v>633</v>
      </c>
      <c r="F101" s="106"/>
      <c r="G101" s="18" t="s">
        <v>647</v>
      </c>
      <c r="H101" s="18" t="str">
        <f>G101</f>
        <v>Unit equipment cost  </v>
      </c>
      <c r="I101" s="18" t="str">
        <f>H101</f>
        <v>Unit equipment cost  </v>
      </c>
      <c r="J101" s="18" t="str">
        <f>I101</f>
        <v>Unit equipment cost  </v>
      </c>
      <c r="K101" s="18" t="str">
        <f>J101</f>
        <v>Unit equipment cost  </v>
      </c>
      <c r="L101" s="18" t="s">
        <v>648</v>
      </c>
      <c r="M101" s="18" t="str">
        <f>L101</f>
        <v>Unit installation cost </v>
      </c>
      <c r="N101" s="18" t="str">
        <f>M101</f>
        <v>Unit installation cost </v>
      </c>
      <c r="O101" s="18" t="str">
        <f>N101</f>
        <v>Unit installation cost </v>
      </c>
      <c r="P101" s="18" t="str">
        <f>O101</f>
        <v>Unit installation cost </v>
      </c>
      <c r="Q101" s="18" t="s">
        <v>649</v>
      </c>
      <c r="R101" s="18" t="str">
        <f>Q101</f>
        <v>Unit equip + install cost</v>
      </c>
      <c r="S101" s="18" t="str">
        <f>R101</f>
        <v>Unit equip + install cost</v>
      </c>
      <c r="T101" s="18" t="str">
        <f>S101</f>
        <v>Unit equip + install cost</v>
      </c>
      <c r="U101" s="18" t="str">
        <f>T101</f>
        <v>Unit equip + install cost</v>
      </c>
      <c r="V101" s="18" t="s">
        <v>739</v>
      </c>
      <c r="W101" s="18" t="str">
        <f>V101</f>
        <v>Unit operating cost</v>
      </c>
      <c r="X101" s="18" t="str">
        <f>W101</f>
        <v>Unit operating cost</v>
      </c>
      <c r="Y101" s="18" t="str">
        <f>X101</f>
        <v>Unit operating cost</v>
      </c>
      <c r="Z101" s="18" t="str">
        <f>Y101</f>
        <v>Unit operating cost</v>
      </c>
    </row>
    <row r="102" spans="1:26" ht="12.75" customHeight="1">
      <c r="A102" s="21"/>
      <c r="C102" s="65"/>
      <c r="D102" s="65"/>
      <c r="E102" s="65"/>
      <c r="F102" s="106"/>
      <c r="G102" s="18" t="str">
        <f>'C. Masterfiles'!$D$110</f>
        <v>Euro</v>
      </c>
      <c r="H102" s="18" t="str">
        <f>'C. Masterfiles'!$D$110</f>
        <v>Euro</v>
      </c>
      <c r="I102" s="18" t="str">
        <f>'C. Masterfiles'!$D$110</f>
        <v>Euro</v>
      </c>
      <c r="J102" s="18" t="str">
        <f>'C. Masterfiles'!$D$110</f>
        <v>Euro</v>
      </c>
      <c r="K102" s="18" t="str">
        <f>'C. Masterfiles'!$D$110</f>
        <v>Euro</v>
      </c>
      <c r="L102" s="18" t="str">
        <f>'C. Masterfiles'!$D$110</f>
        <v>Euro</v>
      </c>
      <c r="M102" s="18" t="str">
        <f>'C. Masterfiles'!$D$110</f>
        <v>Euro</v>
      </c>
      <c r="N102" s="18" t="str">
        <f>'C. Masterfiles'!$D$110</f>
        <v>Euro</v>
      </c>
      <c r="O102" s="18" t="str">
        <f>'C. Masterfiles'!$D$110</f>
        <v>Euro</v>
      </c>
      <c r="P102" s="18" t="str">
        <f>'C. Masterfiles'!$D$110</f>
        <v>Euro</v>
      </c>
      <c r="Q102" s="18" t="str">
        <f>'C. Masterfiles'!$D$110</f>
        <v>Euro</v>
      </c>
      <c r="R102" s="18" t="str">
        <f>'C. Masterfiles'!$D$110</f>
        <v>Euro</v>
      </c>
      <c r="S102" s="18" t="str">
        <f>'C. Masterfiles'!$D$110</f>
        <v>Euro</v>
      </c>
      <c r="T102" s="18" t="str">
        <f>'C. Masterfiles'!$D$110</f>
        <v>Euro</v>
      </c>
      <c r="U102" s="18" t="str">
        <f>'C. Masterfiles'!$D$110</f>
        <v>Euro</v>
      </c>
      <c r="V102" s="18" t="str">
        <f>'C. Masterfiles'!$D$110</f>
        <v>Euro</v>
      </c>
      <c r="W102" s="18" t="str">
        <f>'C. Masterfiles'!$D$110</f>
        <v>Euro</v>
      </c>
      <c r="X102" s="18" t="str">
        <f>'C. Masterfiles'!$D$110</f>
        <v>Euro</v>
      </c>
      <c r="Y102" s="18" t="str">
        <f>'C. Masterfiles'!$D$110</f>
        <v>Euro</v>
      </c>
      <c r="Z102" s="18" t="str">
        <f>'C. Masterfiles'!$D$110</f>
        <v>Euro</v>
      </c>
    </row>
    <row r="103" spans="1:26" ht="12.75" customHeight="1">
      <c r="A103" s="21"/>
      <c r="C103" s="92"/>
      <c r="D103" s="92"/>
      <c r="E103" s="92"/>
      <c r="F103" s="92"/>
      <c r="G103" s="92">
        <f>'C. Masterfiles'!E99</f>
        <v>2008</v>
      </c>
      <c r="H103" s="92">
        <f>'C. Masterfiles'!F99</f>
        <v>2009</v>
      </c>
      <c r="I103" s="92">
        <f>'C. Masterfiles'!G99</f>
        <v>2010</v>
      </c>
      <c r="J103" s="92">
        <f>'C. Masterfiles'!H99</f>
        <v>2011</v>
      </c>
      <c r="K103" s="92">
        <f>'C. Masterfiles'!I99</f>
        <v>2012</v>
      </c>
      <c r="L103" s="92">
        <f aca="true" t="shared" si="3" ref="L103:Z103">G103</f>
        <v>2008</v>
      </c>
      <c r="M103" s="92">
        <f t="shared" si="3"/>
        <v>2009</v>
      </c>
      <c r="N103" s="92">
        <f t="shared" si="3"/>
        <v>2010</v>
      </c>
      <c r="O103" s="92">
        <f t="shared" si="3"/>
        <v>2011</v>
      </c>
      <c r="P103" s="92">
        <f t="shared" si="3"/>
        <v>2012</v>
      </c>
      <c r="Q103" s="92">
        <f t="shared" si="3"/>
        <v>2008</v>
      </c>
      <c r="R103" s="92">
        <f t="shared" si="3"/>
        <v>2009</v>
      </c>
      <c r="S103" s="92">
        <f t="shared" si="3"/>
        <v>2010</v>
      </c>
      <c r="T103" s="92">
        <f t="shared" si="3"/>
        <v>2011</v>
      </c>
      <c r="U103" s="92">
        <f t="shared" si="3"/>
        <v>2012</v>
      </c>
      <c r="V103" s="92">
        <f t="shared" si="3"/>
        <v>2008</v>
      </c>
      <c r="W103" s="92">
        <f t="shared" si="3"/>
        <v>2009</v>
      </c>
      <c r="X103" s="92">
        <f t="shared" si="3"/>
        <v>2010</v>
      </c>
      <c r="Y103" s="92">
        <f t="shared" si="3"/>
        <v>2011</v>
      </c>
      <c r="Z103" s="92">
        <f t="shared" si="3"/>
        <v>2012</v>
      </c>
    </row>
    <row r="104" spans="1:26" ht="12.75">
      <c r="A104" s="21"/>
      <c r="C104" s="42" t="str">
        <f>'C. Masterfiles'!C53</f>
        <v>N01</v>
      </c>
      <c r="D104" s="42" t="str">
        <f>'C. Masterfiles'!D53</f>
        <v>Remote Access Unit</v>
      </c>
      <c r="E104" s="42" t="str">
        <f>'C. Masterfiles'!E53</f>
        <v>RAU</v>
      </c>
      <c r="F104" s="149"/>
      <c r="G104" s="329">
        <f aca="true" t="shared" si="4" ref="G104:G113">I16</f>
        <v>40000</v>
      </c>
      <c r="H104" s="329">
        <f aca="true" t="shared" si="5" ref="H104:K113">G104*(1+$J16)</f>
        <v>38000</v>
      </c>
      <c r="I104" s="329">
        <f t="shared" si="5"/>
        <v>36100</v>
      </c>
      <c r="J104" s="329">
        <f t="shared" si="5"/>
        <v>34295</v>
      </c>
      <c r="K104" s="329">
        <f t="shared" si="5"/>
        <v>32580.25</v>
      </c>
      <c r="L104" s="329">
        <f aca="true" t="shared" si="6" ref="L104:L113">G104*($K16)</f>
        <v>6000</v>
      </c>
      <c r="M104" s="329">
        <f aca="true" t="shared" si="7" ref="M104:P113">L104*(1+$L16)</f>
        <v>6300</v>
      </c>
      <c r="N104" s="329">
        <f t="shared" si="7"/>
        <v>6615</v>
      </c>
      <c r="O104" s="329">
        <f t="shared" si="7"/>
        <v>6945.75</v>
      </c>
      <c r="P104" s="329">
        <f t="shared" si="7"/>
        <v>7293.0375</v>
      </c>
      <c r="Q104" s="329">
        <f>G104+L104</f>
        <v>46000</v>
      </c>
      <c r="R104" s="329">
        <f>H104+M104</f>
        <v>44300</v>
      </c>
      <c r="S104" s="329">
        <f>I104+N104</f>
        <v>42715</v>
      </c>
      <c r="T104" s="329">
        <f>J104+O104</f>
        <v>41240.75</v>
      </c>
      <c r="U104" s="329">
        <f>K104+P104</f>
        <v>39873.2875</v>
      </c>
      <c r="V104" s="329">
        <f aca="true" t="shared" si="8" ref="V104:V113">Q104*M16</f>
        <v>3680</v>
      </c>
      <c r="W104" s="329">
        <f aca="true" t="shared" si="9" ref="W104:Z113">V104*(1+$N16)</f>
        <v>3864</v>
      </c>
      <c r="X104" s="329">
        <f t="shared" si="9"/>
        <v>4057.2000000000003</v>
      </c>
      <c r="Y104" s="329">
        <f t="shared" si="9"/>
        <v>4260.06</v>
      </c>
      <c r="Z104" s="329">
        <f t="shared" si="9"/>
        <v>4473.063000000001</v>
      </c>
    </row>
    <row r="105" spans="1:26" ht="12.75">
      <c r="A105" s="21"/>
      <c r="C105" s="42" t="str">
        <f>'C. Masterfiles'!C54</f>
        <v>N02</v>
      </c>
      <c r="D105" s="42" t="str">
        <f>'C. Masterfiles'!D54</f>
        <v>Local Switch</v>
      </c>
      <c r="E105" s="42" t="str">
        <f>'C. Masterfiles'!E54</f>
        <v>LS</v>
      </c>
      <c r="F105" s="149"/>
      <c r="G105" s="329">
        <f t="shared" si="4"/>
        <v>50000</v>
      </c>
      <c r="H105" s="329">
        <f t="shared" si="5"/>
        <v>47500</v>
      </c>
      <c r="I105" s="329">
        <f t="shared" si="5"/>
        <v>45125</v>
      </c>
      <c r="J105" s="329">
        <f t="shared" si="5"/>
        <v>42868.75</v>
      </c>
      <c r="K105" s="329">
        <f t="shared" si="5"/>
        <v>40725.3125</v>
      </c>
      <c r="L105" s="329">
        <f t="shared" si="6"/>
        <v>7500</v>
      </c>
      <c r="M105" s="329">
        <f t="shared" si="7"/>
        <v>7875</v>
      </c>
      <c r="N105" s="329">
        <f t="shared" si="7"/>
        <v>8268.75</v>
      </c>
      <c r="O105" s="329">
        <f t="shared" si="7"/>
        <v>8682.1875</v>
      </c>
      <c r="P105" s="329">
        <f t="shared" si="7"/>
        <v>9116.296875</v>
      </c>
      <c r="Q105" s="329">
        <f aca="true" t="shared" si="10" ref="Q105:Q113">G105+L105</f>
        <v>57500</v>
      </c>
      <c r="R105" s="329">
        <f aca="true" t="shared" si="11" ref="R105:R113">H105+M105</f>
        <v>55375</v>
      </c>
      <c r="S105" s="329">
        <f aca="true" t="shared" si="12" ref="S105:S113">I105+N105</f>
        <v>53393.75</v>
      </c>
      <c r="T105" s="329">
        <f aca="true" t="shared" si="13" ref="T105:T113">J105+O105</f>
        <v>51550.9375</v>
      </c>
      <c r="U105" s="329">
        <f aca="true" t="shared" si="14" ref="U105:U113">K105+P105</f>
        <v>49841.609375</v>
      </c>
      <c r="V105" s="329">
        <f t="shared" si="8"/>
        <v>4600</v>
      </c>
      <c r="W105" s="329">
        <f t="shared" si="9"/>
        <v>4830</v>
      </c>
      <c r="X105" s="329">
        <f t="shared" si="9"/>
        <v>5071.5</v>
      </c>
      <c r="Y105" s="329">
        <f t="shared" si="9"/>
        <v>5325.075</v>
      </c>
      <c r="Z105" s="329">
        <f t="shared" si="9"/>
        <v>5591.32875</v>
      </c>
    </row>
    <row r="106" spans="1:26" ht="12.75">
      <c r="A106" s="21"/>
      <c r="C106" s="42" t="str">
        <f>'C. Masterfiles'!C55</f>
        <v>N03</v>
      </c>
      <c r="D106" s="42" t="str">
        <f>'C. Masterfiles'!D55</f>
        <v>Tandem Switch</v>
      </c>
      <c r="E106" s="42" t="str">
        <f>'C. Masterfiles'!E55</f>
        <v>TS</v>
      </c>
      <c r="F106" s="149"/>
      <c r="G106" s="329">
        <f t="shared" si="4"/>
        <v>100000</v>
      </c>
      <c r="H106" s="329">
        <f t="shared" si="5"/>
        <v>95000</v>
      </c>
      <c r="I106" s="329">
        <f t="shared" si="5"/>
        <v>90250</v>
      </c>
      <c r="J106" s="329">
        <f t="shared" si="5"/>
        <v>85737.5</v>
      </c>
      <c r="K106" s="329">
        <f t="shared" si="5"/>
        <v>81450.625</v>
      </c>
      <c r="L106" s="329">
        <f t="shared" si="6"/>
        <v>15000</v>
      </c>
      <c r="M106" s="329">
        <f t="shared" si="7"/>
        <v>15750</v>
      </c>
      <c r="N106" s="329">
        <f t="shared" si="7"/>
        <v>16537.5</v>
      </c>
      <c r="O106" s="329">
        <f t="shared" si="7"/>
        <v>17364.375</v>
      </c>
      <c r="P106" s="329">
        <f t="shared" si="7"/>
        <v>18232.59375</v>
      </c>
      <c r="Q106" s="329">
        <f t="shared" si="10"/>
        <v>115000</v>
      </c>
      <c r="R106" s="329">
        <f t="shared" si="11"/>
        <v>110750</v>
      </c>
      <c r="S106" s="329">
        <f t="shared" si="12"/>
        <v>106787.5</v>
      </c>
      <c r="T106" s="329">
        <f t="shared" si="13"/>
        <v>103101.875</v>
      </c>
      <c r="U106" s="329">
        <f t="shared" si="14"/>
        <v>99683.21875</v>
      </c>
      <c r="V106" s="329">
        <f t="shared" si="8"/>
        <v>9200</v>
      </c>
      <c r="W106" s="329">
        <f t="shared" si="9"/>
        <v>9660</v>
      </c>
      <c r="X106" s="329">
        <f t="shared" si="9"/>
        <v>10143</v>
      </c>
      <c r="Y106" s="329">
        <f t="shared" si="9"/>
        <v>10650.15</v>
      </c>
      <c r="Z106" s="329">
        <f t="shared" si="9"/>
        <v>11182.6575</v>
      </c>
    </row>
    <row r="107" spans="1:26" ht="12.75">
      <c r="A107" s="21"/>
      <c r="C107" s="42" t="str">
        <f>'C. Masterfiles'!C56</f>
        <v>N04</v>
      </c>
      <c r="D107" s="42" t="str">
        <f>'C. Masterfiles'!D56</f>
        <v>International switching centre</v>
      </c>
      <c r="E107" s="42" t="str">
        <f>'C. Masterfiles'!E56</f>
        <v>ISC</v>
      </c>
      <c r="F107" s="149"/>
      <c r="G107" s="329">
        <f t="shared" si="4"/>
        <v>1000000</v>
      </c>
      <c r="H107" s="329">
        <f t="shared" si="5"/>
        <v>950000</v>
      </c>
      <c r="I107" s="329">
        <f t="shared" si="5"/>
        <v>902500</v>
      </c>
      <c r="J107" s="329">
        <f t="shared" si="5"/>
        <v>857375</v>
      </c>
      <c r="K107" s="329">
        <f t="shared" si="5"/>
        <v>814506.25</v>
      </c>
      <c r="L107" s="329">
        <f t="shared" si="6"/>
        <v>150000</v>
      </c>
      <c r="M107" s="329">
        <f t="shared" si="7"/>
        <v>157500</v>
      </c>
      <c r="N107" s="329">
        <f t="shared" si="7"/>
        <v>165375</v>
      </c>
      <c r="O107" s="329">
        <f t="shared" si="7"/>
        <v>173643.75</v>
      </c>
      <c r="P107" s="329">
        <f t="shared" si="7"/>
        <v>182325.9375</v>
      </c>
      <c r="Q107" s="329">
        <f t="shared" si="10"/>
        <v>1150000</v>
      </c>
      <c r="R107" s="329">
        <f t="shared" si="11"/>
        <v>1107500</v>
      </c>
      <c r="S107" s="329">
        <f t="shared" si="12"/>
        <v>1067875</v>
      </c>
      <c r="T107" s="329">
        <f t="shared" si="13"/>
        <v>1031018.75</v>
      </c>
      <c r="U107" s="329">
        <f t="shared" si="14"/>
        <v>996832.1875</v>
      </c>
      <c r="V107" s="329">
        <f t="shared" si="8"/>
        <v>92000</v>
      </c>
      <c r="W107" s="329">
        <f t="shared" si="9"/>
        <v>96600</v>
      </c>
      <c r="X107" s="329">
        <f t="shared" si="9"/>
        <v>101430</v>
      </c>
      <c r="Y107" s="329">
        <f t="shared" si="9"/>
        <v>106501.5</v>
      </c>
      <c r="Z107" s="329">
        <f t="shared" si="9"/>
        <v>111826.57500000001</v>
      </c>
    </row>
    <row r="108" spans="1:26" ht="12.75">
      <c r="A108" s="21"/>
      <c r="C108" s="42" t="str">
        <f>'C. Masterfiles'!C57</f>
        <v>N05</v>
      </c>
      <c r="D108" s="42" t="str">
        <f>'C. Masterfiles'!D57</f>
        <v>Interconnect gateway</v>
      </c>
      <c r="E108" s="42" t="str">
        <f>'C. Masterfiles'!E57</f>
        <v>IGW</v>
      </c>
      <c r="F108" s="149"/>
      <c r="G108" s="329">
        <f t="shared" si="4"/>
        <v>400000</v>
      </c>
      <c r="H108" s="329">
        <f t="shared" si="5"/>
        <v>380000</v>
      </c>
      <c r="I108" s="329">
        <f t="shared" si="5"/>
        <v>361000</v>
      </c>
      <c r="J108" s="329">
        <f t="shared" si="5"/>
        <v>342950</v>
      </c>
      <c r="K108" s="329">
        <f t="shared" si="5"/>
        <v>325802.5</v>
      </c>
      <c r="L108" s="329">
        <f t="shared" si="6"/>
        <v>60000</v>
      </c>
      <c r="M108" s="329">
        <f t="shared" si="7"/>
        <v>63000</v>
      </c>
      <c r="N108" s="329">
        <f t="shared" si="7"/>
        <v>66150</v>
      </c>
      <c r="O108" s="329">
        <f t="shared" si="7"/>
        <v>69457.5</v>
      </c>
      <c r="P108" s="329">
        <f t="shared" si="7"/>
        <v>72930.375</v>
      </c>
      <c r="Q108" s="329">
        <f t="shared" si="10"/>
        <v>460000</v>
      </c>
      <c r="R108" s="329">
        <f t="shared" si="11"/>
        <v>443000</v>
      </c>
      <c r="S108" s="329">
        <f t="shared" si="12"/>
        <v>427150</v>
      </c>
      <c r="T108" s="329">
        <f t="shared" si="13"/>
        <v>412407.5</v>
      </c>
      <c r="U108" s="329">
        <f t="shared" si="14"/>
        <v>398732.875</v>
      </c>
      <c r="V108" s="329">
        <f t="shared" si="8"/>
        <v>36800</v>
      </c>
      <c r="W108" s="329">
        <f t="shared" si="9"/>
        <v>38640</v>
      </c>
      <c r="X108" s="329">
        <f t="shared" si="9"/>
        <v>40572</v>
      </c>
      <c r="Y108" s="329">
        <f t="shared" si="9"/>
        <v>42600.6</v>
      </c>
      <c r="Z108" s="329">
        <f t="shared" si="9"/>
        <v>44730.63</v>
      </c>
    </row>
    <row r="109" spans="1:26" ht="12.75">
      <c r="A109" s="21"/>
      <c r="C109" s="42" t="str">
        <f>'C. Masterfiles'!C58</f>
        <v>N06</v>
      </c>
      <c r="D109" s="42" t="str">
        <f>'C. Masterfiles'!D58</f>
        <v>Intelligent network </v>
      </c>
      <c r="E109" s="42" t="str">
        <f>'C. Masterfiles'!E58</f>
        <v>IN</v>
      </c>
      <c r="F109" s="149"/>
      <c r="G109" s="329">
        <f t="shared" si="4"/>
        <v>4000000</v>
      </c>
      <c r="H109" s="329">
        <f t="shared" si="5"/>
        <v>3920000</v>
      </c>
      <c r="I109" s="329">
        <f t="shared" si="5"/>
        <v>3841600</v>
      </c>
      <c r="J109" s="329">
        <f t="shared" si="5"/>
        <v>3764768</v>
      </c>
      <c r="K109" s="329">
        <f t="shared" si="5"/>
        <v>3689472.64</v>
      </c>
      <c r="L109" s="329">
        <f t="shared" si="6"/>
        <v>600000</v>
      </c>
      <c r="M109" s="329">
        <f t="shared" si="7"/>
        <v>630000</v>
      </c>
      <c r="N109" s="329">
        <f t="shared" si="7"/>
        <v>661500</v>
      </c>
      <c r="O109" s="329">
        <f t="shared" si="7"/>
        <v>694575</v>
      </c>
      <c r="P109" s="329">
        <f t="shared" si="7"/>
        <v>729303.75</v>
      </c>
      <c r="Q109" s="329">
        <f t="shared" si="10"/>
        <v>4600000</v>
      </c>
      <c r="R109" s="329">
        <f t="shared" si="11"/>
        <v>4550000</v>
      </c>
      <c r="S109" s="329">
        <f t="shared" si="12"/>
        <v>4503100</v>
      </c>
      <c r="T109" s="329">
        <f t="shared" si="13"/>
        <v>4459343</v>
      </c>
      <c r="U109" s="329">
        <f t="shared" si="14"/>
        <v>4418776.390000001</v>
      </c>
      <c r="V109" s="329">
        <f t="shared" si="8"/>
        <v>690000</v>
      </c>
      <c r="W109" s="329">
        <f t="shared" si="9"/>
        <v>724500</v>
      </c>
      <c r="X109" s="329">
        <f t="shared" si="9"/>
        <v>760725</v>
      </c>
      <c r="Y109" s="329">
        <f t="shared" si="9"/>
        <v>798761.25</v>
      </c>
      <c r="Z109" s="329">
        <f t="shared" si="9"/>
        <v>838699.3125</v>
      </c>
    </row>
    <row r="110" spans="1:26" ht="12.75">
      <c r="A110" s="21"/>
      <c r="C110" s="42" t="str">
        <f>'C. Masterfiles'!C59</f>
        <v>N07</v>
      </c>
      <c r="D110" s="42" t="str">
        <f>'C. Masterfiles'!D59</f>
        <v>Retail Billing System</v>
      </c>
      <c r="E110" s="42" t="str">
        <f>'C. Masterfiles'!E59</f>
        <v>RBIL</v>
      </c>
      <c r="F110" s="149"/>
      <c r="G110" s="329">
        <f t="shared" si="4"/>
        <v>2000000</v>
      </c>
      <c r="H110" s="329">
        <f t="shared" si="5"/>
        <v>1960000</v>
      </c>
      <c r="I110" s="329">
        <f t="shared" si="5"/>
        <v>1920800</v>
      </c>
      <c r="J110" s="329">
        <f t="shared" si="5"/>
        <v>1882384</v>
      </c>
      <c r="K110" s="329">
        <f t="shared" si="5"/>
        <v>1844736.32</v>
      </c>
      <c r="L110" s="329">
        <f t="shared" si="6"/>
        <v>300000</v>
      </c>
      <c r="M110" s="329">
        <f t="shared" si="7"/>
        <v>315000</v>
      </c>
      <c r="N110" s="329">
        <f t="shared" si="7"/>
        <v>330750</v>
      </c>
      <c r="O110" s="329">
        <f t="shared" si="7"/>
        <v>347287.5</v>
      </c>
      <c r="P110" s="329">
        <f t="shared" si="7"/>
        <v>364651.875</v>
      </c>
      <c r="Q110" s="329">
        <f t="shared" si="10"/>
        <v>2300000</v>
      </c>
      <c r="R110" s="329">
        <f t="shared" si="11"/>
        <v>2275000</v>
      </c>
      <c r="S110" s="329">
        <f t="shared" si="12"/>
        <v>2251550</v>
      </c>
      <c r="T110" s="329">
        <f t="shared" si="13"/>
        <v>2229671.5</v>
      </c>
      <c r="U110" s="329">
        <f t="shared" si="14"/>
        <v>2209388.1950000003</v>
      </c>
      <c r="V110" s="329">
        <f t="shared" si="8"/>
        <v>345000</v>
      </c>
      <c r="W110" s="329">
        <f t="shared" si="9"/>
        <v>362250</v>
      </c>
      <c r="X110" s="329">
        <f t="shared" si="9"/>
        <v>380362.5</v>
      </c>
      <c r="Y110" s="329">
        <f t="shared" si="9"/>
        <v>399380.625</v>
      </c>
      <c r="Z110" s="329">
        <f t="shared" si="9"/>
        <v>419349.65625</v>
      </c>
    </row>
    <row r="111" spans="1:26" ht="12.75">
      <c r="A111" s="21"/>
      <c r="C111" s="42" t="str">
        <f>'C. Masterfiles'!C60</f>
        <v>N08</v>
      </c>
      <c r="D111" s="42" t="str">
        <f>'C. Masterfiles'!D60</f>
        <v>Interconnection Billing System</v>
      </c>
      <c r="E111" s="42" t="str">
        <f>'C. Masterfiles'!E60</f>
        <v>IBIL</v>
      </c>
      <c r="F111" s="149"/>
      <c r="G111" s="329">
        <f>IF('E. Graphs'!X$13=1,0,I23)</f>
        <v>1000000</v>
      </c>
      <c r="H111" s="329">
        <f t="shared" si="5"/>
        <v>980000</v>
      </c>
      <c r="I111" s="329">
        <f t="shared" si="5"/>
        <v>960400</v>
      </c>
      <c r="J111" s="329">
        <f t="shared" si="5"/>
        <v>941192</v>
      </c>
      <c r="K111" s="329">
        <f t="shared" si="5"/>
        <v>922368.16</v>
      </c>
      <c r="L111" s="329">
        <f t="shared" si="6"/>
        <v>150000</v>
      </c>
      <c r="M111" s="329">
        <f t="shared" si="7"/>
        <v>157500</v>
      </c>
      <c r="N111" s="329">
        <f t="shared" si="7"/>
        <v>165375</v>
      </c>
      <c r="O111" s="329">
        <f t="shared" si="7"/>
        <v>173643.75</v>
      </c>
      <c r="P111" s="329">
        <f t="shared" si="7"/>
        <v>182325.9375</v>
      </c>
      <c r="Q111" s="329">
        <f t="shared" si="10"/>
        <v>1150000</v>
      </c>
      <c r="R111" s="329">
        <f t="shared" si="11"/>
        <v>1137500</v>
      </c>
      <c r="S111" s="329">
        <f t="shared" si="12"/>
        <v>1125775</v>
      </c>
      <c r="T111" s="329">
        <f t="shared" si="13"/>
        <v>1114835.75</v>
      </c>
      <c r="U111" s="329">
        <f t="shared" si="14"/>
        <v>1104694.0975000001</v>
      </c>
      <c r="V111" s="329">
        <f t="shared" si="8"/>
        <v>172500</v>
      </c>
      <c r="W111" s="329">
        <f t="shared" si="9"/>
        <v>181125</v>
      </c>
      <c r="X111" s="329">
        <f t="shared" si="9"/>
        <v>190181.25</v>
      </c>
      <c r="Y111" s="329">
        <f t="shared" si="9"/>
        <v>199690.3125</v>
      </c>
      <c r="Z111" s="329">
        <f t="shared" si="9"/>
        <v>209674.828125</v>
      </c>
    </row>
    <row r="112" spans="1:26" ht="12.75">
      <c r="A112" s="21"/>
      <c r="C112" s="42" t="str">
        <f>'C. Masterfiles'!C61</f>
        <v>N09</v>
      </c>
      <c r="D112" s="42" t="str">
        <f>'C. Masterfiles'!D61</f>
        <v>Network management system</v>
      </c>
      <c r="E112" s="42" t="str">
        <f>'C. Masterfiles'!E61</f>
        <v>NMS</v>
      </c>
      <c r="F112" s="149"/>
      <c r="G112" s="329">
        <f>IF('E. Graphs'!X$13=1,0,I24)</f>
        <v>2000000</v>
      </c>
      <c r="H112" s="329">
        <f t="shared" si="5"/>
        <v>1960000</v>
      </c>
      <c r="I112" s="329">
        <f t="shared" si="5"/>
        <v>1920800</v>
      </c>
      <c r="J112" s="329">
        <f t="shared" si="5"/>
        <v>1882384</v>
      </c>
      <c r="K112" s="329">
        <f t="shared" si="5"/>
        <v>1844736.32</v>
      </c>
      <c r="L112" s="329">
        <f t="shared" si="6"/>
        <v>300000</v>
      </c>
      <c r="M112" s="329">
        <f t="shared" si="7"/>
        <v>315000</v>
      </c>
      <c r="N112" s="329">
        <f t="shared" si="7"/>
        <v>330750</v>
      </c>
      <c r="O112" s="329">
        <f t="shared" si="7"/>
        <v>347287.5</v>
      </c>
      <c r="P112" s="329">
        <f t="shared" si="7"/>
        <v>364651.875</v>
      </c>
      <c r="Q112" s="329">
        <f t="shared" si="10"/>
        <v>2300000</v>
      </c>
      <c r="R112" s="329">
        <f t="shared" si="11"/>
        <v>2275000</v>
      </c>
      <c r="S112" s="329">
        <f t="shared" si="12"/>
        <v>2251550</v>
      </c>
      <c r="T112" s="329">
        <f t="shared" si="13"/>
        <v>2229671.5</v>
      </c>
      <c r="U112" s="329">
        <f t="shared" si="14"/>
        <v>2209388.1950000003</v>
      </c>
      <c r="V112" s="329">
        <f t="shared" si="8"/>
        <v>345000</v>
      </c>
      <c r="W112" s="329">
        <f t="shared" si="9"/>
        <v>362250</v>
      </c>
      <c r="X112" s="329">
        <f t="shared" si="9"/>
        <v>380362.5</v>
      </c>
      <c r="Y112" s="329">
        <f t="shared" si="9"/>
        <v>399380.625</v>
      </c>
      <c r="Z112" s="329">
        <f t="shared" si="9"/>
        <v>419349.65625</v>
      </c>
    </row>
    <row r="113" spans="1:26" ht="12.75">
      <c r="A113" s="21"/>
      <c r="C113" s="42" t="str">
        <f>'C. Masterfiles'!C62</f>
        <v>N10</v>
      </c>
      <c r="D113" s="42" t="str">
        <f>'C. Masterfiles'!D62</f>
        <v>Operational support system</v>
      </c>
      <c r="E113" s="42" t="str">
        <f>'C. Masterfiles'!E62</f>
        <v>OSS</v>
      </c>
      <c r="F113" s="149"/>
      <c r="G113" s="329">
        <f t="shared" si="4"/>
        <v>2000000</v>
      </c>
      <c r="H113" s="329">
        <f t="shared" si="5"/>
        <v>1900000</v>
      </c>
      <c r="I113" s="329">
        <f t="shared" si="5"/>
        <v>1805000</v>
      </c>
      <c r="J113" s="329">
        <f t="shared" si="5"/>
        <v>1714750</v>
      </c>
      <c r="K113" s="329">
        <f t="shared" si="5"/>
        <v>1629012.5</v>
      </c>
      <c r="L113" s="329">
        <f t="shared" si="6"/>
        <v>300000</v>
      </c>
      <c r="M113" s="329">
        <f t="shared" si="7"/>
        <v>315000</v>
      </c>
      <c r="N113" s="329">
        <f t="shared" si="7"/>
        <v>330750</v>
      </c>
      <c r="O113" s="329">
        <f t="shared" si="7"/>
        <v>347287.5</v>
      </c>
      <c r="P113" s="329">
        <f t="shared" si="7"/>
        <v>364651.875</v>
      </c>
      <c r="Q113" s="329">
        <f t="shared" si="10"/>
        <v>2300000</v>
      </c>
      <c r="R113" s="329">
        <f t="shared" si="11"/>
        <v>2215000</v>
      </c>
      <c r="S113" s="329">
        <f t="shared" si="12"/>
        <v>2135750</v>
      </c>
      <c r="T113" s="329">
        <f t="shared" si="13"/>
        <v>2062037.5</v>
      </c>
      <c r="U113" s="329">
        <f t="shared" si="14"/>
        <v>1993664.375</v>
      </c>
      <c r="V113" s="329">
        <f t="shared" si="8"/>
        <v>184000</v>
      </c>
      <c r="W113" s="329">
        <f t="shared" si="9"/>
        <v>193200</v>
      </c>
      <c r="X113" s="329">
        <f t="shared" si="9"/>
        <v>202860</v>
      </c>
      <c r="Y113" s="329">
        <f t="shared" si="9"/>
        <v>213003</v>
      </c>
      <c r="Z113" s="329">
        <f t="shared" si="9"/>
        <v>223653.15000000002</v>
      </c>
    </row>
    <row r="114" spans="1:26" ht="12.75">
      <c r="A114" s="21"/>
      <c r="C114" s="42" t="str">
        <f>'C. Masterfiles'!C63</f>
        <v>End</v>
      </c>
      <c r="D114" s="42" t="str">
        <f>'C. Masterfiles'!D63</f>
        <v>End of list</v>
      </c>
      <c r="E114" s="42" t="str">
        <f>'C. Masterfiles'!E63</f>
        <v>End</v>
      </c>
      <c r="F114" s="183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</row>
    <row r="115" ht="12.75">
      <c r="A115" s="21"/>
    </row>
    <row r="116" ht="12.75">
      <c r="A116" s="21"/>
    </row>
    <row r="117" ht="12.75">
      <c r="A117" s="21"/>
    </row>
    <row r="118" spans="1:26" ht="12.75">
      <c r="A118" s="21"/>
      <c r="C118" s="694" t="s">
        <v>127</v>
      </c>
      <c r="D118" s="695"/>
      <c r="E118" s="695"/>
      <c r="F118" s="696"/>
      <c r="G118" s="188"/>
      <c r="H118" s="189"/>
      <c r="I118" s="190" t="s">
        <v>717</v>
      </c>
      <c r="J118" s="191"/>
      <c r="K118" s="192"/>
      <c r="L118" s="193"/>
      <c r="M118" s="194"/>
      <c r="N118" s="195" t="s">
        <v>747</v>
      </c>
      <c r="O118" s="196"/>
      <c r="P118" s="197"/>
      <c r="Q118" s="171"/>
      <c r="R118" s="172"/>
      <c r="S118" s="198" t="s">
        <v>748</v>
      </c>
      <c r="T118" s="173"/>
      <c r="U118" s="174"/>
      <c r="V118" s="168"/>
      <c r="W118" s="169"/>
      <c r="X118" s="182" t="s">
        <v>739</v>
      </c>
      <c r="Y118" s="181"/>
      <c r="Z118" s="170"/>
    </row>
    <row r="119" spans="1:26" ht="12.75">
      <c r="A119" s="21"/>
      <c r="C119" s="697"/>
      <c r="D119" s="698"/>
      <c r="E119" s="698"/>
      <c r="F119" s="699"/>
      <c r="G119" s="178">
        <v>5</v>
      </c>
      <c r="H119" s="179">
        <f aca="true" t="shared" si="15" ref="H119:Z119">G119+1</f>
        <v>6</v>
      </c>
      <c r="I119" s="179">
        <f t="shared" si="15"/>
        <v>7</v>
      </c>
      <c r="J119" s="179">
        <f t="shared" si="15"/>
        <v>8</v>
      </c>
      <c r="K119" s="180">
        <f t="shared" si="15"/>
        <v>9</v>
      </c>
      <c r="L119" s="175">
        <f t="shared" si="15"/>
        <v>10</v>
      </c>
      <c r="M119" s="176">
        <f t="shared" si="15"/>
        <v>11</v>
      </c>
      <c r="N119" s="176">
        <f t="shared" si="15"/>
        <v>12</v>
      </c>
      <c r="O119" s="176">
        <f t="shared" si="15"/>
        <v>13</v>
      </c>
      <c r="P119" s="177">
        <f t="shared" si="15"/>
        <v>14</v>
      </c>
      <c r="Q119" s="175">
        <f t="shared" si="15"/>
        <v>15</v>
      </c>
      <c r="R119" s="176">
        <f t="shared" si="15"/>
        <v>16</v>
      </c>
      <c r="S119" s="176">
        <f t="shared" si="15"/>
        <v>17</v>
      </c>
      <c r="T119" s="176">
        <f t="shared" si="15"/>
        <v>18</v>
      </c>
      <c r="U119" s="177">
        <f t="shared" si="15"/>
        <v>19</v>
      </c>
      <c r="V119" s="175">
        <f t="shared" si="15"/>
        <v>20</v>
      </c>
      <c r="W119" s="176">
        <f t="shared" si="15"/>
        <v>21</v>
      </c>
      <c r="X119" s="176">
        <f t="shared" si="15"/>
        <v>22</v>
      </c>
      <c r="Y119" s="176">
        <f t="shared" si="15"/>
        <v>23</v>
      </c>
      <c r="Z119" s="177">
        <f t="shared" si="15"/>
        <v>24</v>
      </c>
    </row>
    <row r="120" spans="1:26" ht="52.5" customHeight="1">
      <c r="A120" s="21"/>
      <c r="C120" s="65" t="s">
        <v>634</v>
      </c>
      <c r="D120" s="65" t="s">
        <v>719</v>
      </c>
      <c r="E120" s="65" t="s">
        <v>727</v>
      </c>
      <c r="F120" s="106"/>
      <c r="G120" s="18" t="s">
        <v>647</v>
      </c>
      <c r="H120" s="18" t="str">
        <f>G120</f>
        <v>Unit equipment cost  </v>
      </c>
      <c r="I120" s="18" t="str">
        <f>H120</f>
        <v>Unit equipment cost  </v>
      </c>
      <c r="J120" s="18" t="str">
        <f>I120</f>
        <v>Unit equipment cost  </v>
      </c>
      <c r="K120" s="18" t="str">
        <f>J120</f>
        <v>Unit equipment cost  </v>
      </c>
      <c r="L120" s="18" t="s">
        <v>648</v>
      </c>
      <c r="M120" s="18" t="str">
        <f>L120</f>
        <v>Unit installation cost </v>
      </c>
      <c r="N120" s="18" t="str">
        <f>M120</f>
        <v>Unit installation cost </v>
      </c>
      <c r="O120" s="18" t="str">
        <f>N120</f>
        <v>Unit installation cost </v>
      </c>
      <c r="P120" s="18" t="str">
        <f>O120</f>
        <v>Unit installation cost </v>
      </c>
      <c r="Q120" s="18" t="s">
        <v>649</v>
      </c>
      <c r="R120" s="18" t="str">
        <f>Q120</f>
        <v>Unit equip + install cost</v>
      </c>
      <c r="S120" s="18" t="str">
        <f>R120</f>
        <v>Unit equip + install cost</v>
      </c>
      <c r="T120" s="18" t="str">
        <f>S120</f>
        <v>Unit equip + install cost</v>
      </c>
      <c r="U120" s="18" t="str">
        <f>T120</f>
        <v>Unit equip + install cost</v>
      </c>
      <c r="V120" s="18" t="s">
        <v>739</v>
      </c>
      <c r="W120" s="18" t="str">
        <f>V120</f>
        <v>Unit operating cost</v>
      </c>
      <c r="X120" s="18" t="str">
        <f>W120</f>
        <v>Unit operating cost</v>
      </c>
      <c r="Y120" s="18" t="str">
        <f>X120</f>
        <v>Unit operating cost</v>
      </c>
      <c r="Z120" s="18" t="str">
        <f>Y120</f>
        <v>Unit operating cost</v>
      </c>
    </row>
    <row r="121" spans="1:26" ht="12.75" customHeight="1">
      <c r="A121" s="21"/>
      <c r="C121" s="65"/>
      <c r="D121" s="65"/>
      <c r="E121" s="331"/>
      <c r="F121" s="106"/>
      <c r="G121" s="18" t="str">
        <f>'C. Masterfiles'!$D$110</f>
        <v>Euro</v>
      </c>
      <c r="H121" s="18" t="str">
        <f>'C. Masterfiles'!$D$110</f>
        <v>Euro</v>
      </c>
      <c r="I121" s="18" t="str">
        <f>'C. Masterfiles'!$D$110</f>
        <v>Euro</v>
      </c>
      <c r="J121" s="18" t="str">
        <f>'C. Masterfiles'!$D$110</f>
        <v>Euro</v>
      </c>
      <c r="K121" s="18" t="str">
        <f>'C. Masterfiles'!$D$110</f>
        <v>Euro</v>
      </c>
      <c r="L121" s="18" t="str">
        <f>'C. Masterfiles'!$D$110</f>
        <v>Euro</v>
      </c>
      <c r="M121" s="18" t="str">
        <f>'C. Masterfiles'!$D$110</f>
        <v>Euro</v>
      </c>
      <c r="N121" s="18" t="str">
        <f>'C. Masterfiles'!$D$110</f>
        <v>Euro</v>
      </c>
      <c r="O121" s="18" t="str">
        <f>'C. Masterfiles'!$D$110</f>
        <v>Euro</v>
      </c>
      <c r="P121" s="18" t="str">
        <f>'C. Masterfiles'!$D$110</f>
        <v>Euro</v>
      </c>
      <c r="Q121" s="18" t="str">
        <f>'C. Masterfiles'!$D$110</f>
        <v>Euro</v>
      </c>
      <c r="R121" s="18" t="str">
        <f>'C. Masterfiles'!$D$110</f>
        <v>Euro</v>
      </c>
      <c r="S121" s="18" t="str">
        <f>'C. Masterfiles'!$D$110</f>
        <v>Euro</v>
      </c>
      <c r="T121" s="18" t="str">
        <f>'C. Masterfiles'!$D$110</f>
        <v>Euro</v>
      </c>
      <c r="U121" s="18" t="str">
        <f>'C. Masterfiles'!$D$110</f>
        <v>Euro</v>
      </c>
      <c r="V121" s="18" t="str">
        <f>'C. Masterfiles'!$D$110</f>
        <v>Euro</v>
      </c>
      <c r="W121" s="18" t="str">
        <f>'C. Masterfiles'!$D$110</f>
        <v>Euro</v>
      </c>
      <c r="X121" s="18" t="str">
        <f>'C. Masterfiles'!$D$110</f>
        <v>Euro</v>
      </c>
      <c r="Y121" s="18" t="str">
        <f>'C. Masterfiles'!$D$110</f>
        <v>Euro</v>
      </c>
      <c r="Z121" s="18" t="str">
        <f>'C. Masterfiles'!$D$110</f>
        <v>Euro</v>
      </c>
    </row>
    <row r="122" spans="1:26" ht="12.75" customHeight="1">
      <c r="A122" s="21"/>
      <c r="C122" s="92"/>
      <c r="D122" s="92"/>
      <c r="E122" s="331"/>
      <c r="F122" s="92"/>
      <c r="G122" s="92">
        <f aca="true" t="shared" si="16" ref="G122:Z122">G103</f>
        <v>2008</v>
      </c>
      <c r="H122" s="92">
        <f t="shared" si="16"/>
        <v>2009</v>
      </c>
      <c r="I122" s="92">
        <f t="shared" si="16"/>
        <v>2010</v>
      </c>
      <c r="J122" s="92">
        <f t="shared" si="16"/>
        <v>2011</v>
      </c>
      <c r="K122" s="92">
        <f t="shared" si="16"/>
        <v>2012</v>
      </c>
      <c r="L122" s="92">
        <f t="shared" si="16"/>
        <v>2008</v>
      </c>
      <c r="M122" s="92">
        <f t="shared" si="16"/>
        <v>2009</v>
      </c>
      <c r="N122" s="92">
        <f t="shared" si="16"/>
        <v>2010</v>
      </c>
      <c r="O122" s="92">
        <f t="shared" si="16"/>
        <v>2011</v>
      </c>
      <c r="P122" s="92">
        <f t="shared" si="16"/>
        <v>2012</v>
      </c>
      <c r="Q122" s="92">
        <f t="shared" si="16"/>
        <v>2008</v>
      </c>
      <c r="R122" s="92">
        <f t="shared" si="16"/>
        <v>2009</v>
      </c>
      <c r="S122" s="92">
        <f t="shared" si="16"/>
        <v>2010</v>
      </c>
      <c r="T122" s="92">
        <f t="shared" si="16"/>
        <v>2011</v>
      </c>
      <c r="U122" s="92">
        <f t="shared" si="16"/>
        <v>2012</v>
      </c>
      <c r="V122" s="92">
        <f t="shared" si="16"/>
        <v>2008</v>
      </c>
      <c r="W122" s="92">
        <f t="shared" si="16"/>
        <v>2009</v>
      </c>
      <c r="X122" s="92">
        <f t="shared" si="16"/>
        <v>2010</v>
      </c>
      <c r="Y122" s="92">
        <f t="shared" si="16"/>
        <v>2011</v>
      </c>
      <c r="Z122" s="92">
        <f t="shared" si="16"/>
        <v>2012</v>
      </c>
    </row>
    <row r="123" spans="1:26" ht="12.75">
      <c r="A123" s="21"/>
      <c r="C123" s="42" t="str">
        <f>'C. Masterfiles'!C69</f>
        <v>T01</v>
      </c>
      <c r="D123" s="42" t="str">
        <f>'C. Masterfiles'!D69</f>
        <v>Rau-TS</v>
      </c>
      <c r="E123" s="304" t="s">
        <v>728</v>
      </c>
      <c r="F123" s="149"/>
      <c r="G123" s="329">
        <f aca="true" t="shared" si="17" ref="G123:G131">G85+G69</f>
        <v>18800</v>
      </c>
      <c r="H123" s="329">
        <f aca="true" t="shared" si="18" ref="H123:K131">G123*(1+$H85)</f>
        <v>17860</v>
      </c>
      <c r="I123" s="329">
        <f t="shared" si="18"/>
        <v>16967</v>
      </c>
      <c r="J123" s="329">
        <f t="shared" si="18"/>
        <v>16118.65</v>
      </c>
      <c r="K123" s="329">
        <f t="shared" si="18"/>
        <v>15312.717499999999</v>
      </c>
      <c r="L123" s="329">
        <f aca="true" t="shared" si="19" ref="L123:L131">G123*($I85)</f>
        <v>2256</v>
      </c>
      <c r="M123" s="329">
        <f aca="true" t="shared" si="20" ref="M123:P131">L123*(1+$J85)</f>
        <v>2143.2</v>
      </c>
      <c r="N123" s="329">
        <f t="shared" si="20"/>
        <v>2036.0399999999997</v>
      </c>
      <c r="O123" s="329">
        <f t="shared" si="20"/>
        <v>1934.2379999999996</v>
      </c>
      <c r="P123" s="329">
        <f t="shared" si="20"/>
        <v>1837.5260999999996</v>
      </c>
      <c r="Q123" s="329">
        <f aca="true" t="shared" si="21" ref="Q123:U128">G123+L123</f>
        <v>21056</v>
      </c>
      <c r="R123" s="329">
        <f t="shared" si="21"/>
        <v>20003.2</v>
      </c>
      <c r="S123" s="329">
        <f t="shared" si="21"/>
        <v>19003.04</v>
      </c>
      <c r="T123" s="329">
        <f t="shared" si="21"/>
        <v>18052.888</v>
      </c>
      <c r="U123" s="329">
        <f t="shared" si="21"/>
        <v>17150.243599999998</v>
      </c>
      <c r="V123" s="329">
        <f aca="true" t="shared" si="22" ref="V123:V131">Q123*K85</f>
        <v>1263.36</v>
      </c>
      <c r="W123" s="329">
        <f aca="true" t="shared" si="23" ref="W123:Z131">V123*(1+$L85)</f>
        <v>1200.1919999999998</v>
      </c>
      <c r="X123" s="329">
        <f t="shared" si="23"/>
        <v>1140.1823999999997</v>
      </c>
      <c r="Y123" s="329">
        <f t="shared" si="23"/>
        <v>1083.1732799999997</v>
      </c>
      <c r="Z123" s="329">
        <f t="shared" si="23"/>
        <v>1029.0146159999997</v>
      </c>
    </row>
    <row r="124" spans="1:26" ht="12.75">
      <c r="A124" s="21"/>
      <c r="C124" s="42" t="str">
        <f>'C. Masterfiles'!C70</f>
        <v>T02</v>
      </c>
      <c r="D124" s="42" t="str">
        <f>'C. Masterfiles'!D70</f>
        <v>LS-TS</v>
      </c>
      <c r="E124" s="304" t="s">
        <v>728</v>
      </c>
      <c r="F124" s="149"/>
      <c r="G124" s="329">
        <f t="shared" si="17"/>
        <v>17181.81818181818</v>
      </c>
      <c r="H124" s="329">
        <f t="shared" si="18"/>
        <v>16322.72727272727</v>
      </c>
      <c r="I124" s="329">
        <f t="shared" si="18"/>
        <v>15506.590909090906</v>
      </c>
      <c r="J124" s="329">
        <f t="shared" si="18"/>
        <v>14731.26136363636</v>
      </c>
      <c r="K124" s="329">
        <f t="shared" si="18"/>
        <v>13994.698295454542</v>
      </c>
      <c r="L124" s="329">
        <f t="shared" si="19"/>
        <v>2061.8181818181815</v>
      </c>
      <c r="M124" s="329">
        <f t="shared" si="20"/>
        <v>1958.7272727272723</v>
      </c>
      <c r="N124" s="329">
        <f t="shared" si="20"/>
        <v>1860.7909090909086</v>
      </c>
      <c r="O124" s="329">
        <f t="shared" si="20"/>
        <v>1767.751363636363</v>
      </c>
      <c r="P124" s="329">
        <f t="shared" si="20"/>
        <v>1679.3637954545447</v>
      </c>
      <c r="Q124" s="329">
        <f t="shared" si="21"/>
        <v>19243.63636363636</v>
      </c>
      <c r="R124" s="329">
        <f t="shared" si="21"/>
        <v>18281.454545454544</v>
      </c>
      <c r="S124" s="329">
        <f t="shared" si="21"/>
        <v>17367.381818181813</v>
      </c>
      <c r="T124" s="329">
        <f t="shared" si="21"/>
        <v>16499.012727272722</v>
      </c>
      <c r="U124" s="329">
        <f t="shared" si="21"/>
        <v>15674.062090909087</v>
      </c>
      <c r="V124" s="329">
        <f t="shared" si="22"/>
        <v>1154.6181818181815</v>
      </c>
      <c r="W124" s="329">
        <f t="shared" si="23"/>
        <v>1096.8872727272724</v>
      </c>
      <c r="X124" s="329">
        <f t="shared" si="23"/>
        <v>1042.0429090909088</v>
      </c>
      <c r="Y124" s="329">
        <f t="shared" si="23"/>
        <v>989.9407636363633</v>
      </c>
      <c r="Z124" s="329">
        <f t="shared" si="23"/>
        <v>940.4437254545451</v>
      </c>
    </row>
    <row r="125" spans="1:26" ht="12.75">
      <c r="A125" s="21"/>
      <c r="C125" s="42" t="str">
        <f>'C. Masterfiles'!C71</f>
        <v>T03</v>
      </c>
      <c r="D125" s="42" t="str">
        <f>'C. Masterfiles'!D71</f>
        <v>TS-TS</v>
      </c>
      <c r="E125" s="304" t="s">
        <v>728</v>
      </c>
      <c r="F125" s="149"/>
      <c r="G125" s="329">
        <f t="shared" si="17"/>
        <v>504000</v>
      </c>
      <c r="H125" s="329">
        <f t="shared" si="18"/>
        <v>478800</v>
      </c>
      <c r="I125" s="329">
        <f t="shared" si="18"/>
        <v>454860</v>
      </c>
      <c r="J125" s="329">
        <f t="shared" si="18"/>
        <v>432117</v>
      </c>
      <c r="K125" s="329">
        <f t="shared" si="18"/>
        <v>410511.14999999997</v>
      </c>
      <c r="L125" s="329">
        <f t="shared" si="19"/>
        <v>60480</v>
      </c>
      <c r="M125" s="329">
        <f t="shared" si="20"/>
        <v>57456</v>
      </c>
      <c r="N125" s="329">
        <f t="shared" si="20"/>
        <v>54583.2</v>
      </c>
      <c r="O125" s="329">
        <f t="shared" si="20"/>
        <v>51854.03999999999</v>
      </c>
      <c r="P125" s="329">
        <f t="shared" si="20"/>
        <v>49261.33799999999</v>
      </c>
      <c r="Q125" s="329">
        <f t="shared" si="21"/>
        <v>564480</v>
      </c>
      <c r="R125" s="329">
        <f t="shared" si="21"/>
        <v>536256</v>
      </c>
      <c r="S125" s="329">
        <f t="shared" si="21"/>
        <v>509443.2</v>
      </c>
      <c r="T125" s="329">
        <f t="shared" si="21"/>
        <v>483971.04</v>
      </c>
      <c r="U125" s="329">
        <f t="shared" si="21"/>
        <v>459772.48799999995</v>
      </c>
      <c r="V125" s="329">
        <f t="shared" si="22"/>
        <v>33868.799999999996</v>
      </c>
      <c r="W125" s="329">
        <f t="shared" si="23"/>
        <v>32175.359999999993</v>
      </c>
      <c r="X125" s="329">
        <f t="shared" si="23"/>
        <v>30566.591999999993</v>
      </c>
      <c r="Y125" s="329">
        <f t="shared" si="23"/>
        <v>29038.262399999992</v>
      </c>
      <c r="Z125" s="329">
        <f t="shared" si="23"/>
        <v>27586.34927999999</v>
      </c>
    </row>
    <row r="126" spans="1:26" ht="12.75">
      <c r="A126" s="21"/>
      <c r="C126" s="42" t="str">
        <f>'C. Masterfiles'!C72</f>
        <v>T04</v>
      </c>
      <c r="D126" s="42" t="str">
        <f>'C. Masterfiles'!D72</f>
        <v>TS-ISC</v>
      </c>
      <c r="E126" s="304" t="s">
        <v>728</v>
      </c>
      <c r="F126" s="149"/>
      <c r="G126" s="329">
        <f t="shared" si="17"/>
        <v>504000</v>
      </c>
      <c r="H126" s="329">
        <f t="shared" si="18"/>
        <v>478800</v>
      </c>
      <c r="I126" s="329">
        <f t="shared" si="18"/>
        <v>454860</v>
      </c>
      <c r="J126" s="329">
        <f t="shared" si="18"/>
        <v>432117</v>
      </c>
      <c r="K126" s="329">
        <f t="shared" si="18"/>
        <v>410511.14999999997</v>
      </c>
      <c r="L126" s="329">
        <f t="shared" si="19"/>
        <v>60480</v>
      </c>
      <c r="M126" s="329">
        <f t="shared" si="20"/>
        <v>57456</v>
      </c>
      <c r="N126" s="329">
        <f t="shared" si="20"/>
        <v>54583.2</v>
      </c>
      <c r="O126" s="329">
        <f t="shared" si="20"/>
        <v>51854.03999999999</v>
      </c>
      <c r="P126" s="329">
        <f t="shared" si="20"/>
        <v>49261.33799999999</v>
      </c>
      <c r="Q126" s="329">
        <f t="shared" si="21"/>
        <v>564480</v>
      </c>
      <c r="R126" s="329">
        <f t="shared" si="21"/>
        <v>536256</v>
      </c>
      <c r="S126" s="329">
        <f t="shared" si="21"/>
        <v>509443.2</v>
      </c>
      <c r="T126" s="329">
        <f t="shared" si="21"/>
        <v>483971.04</v>
      </c>
      <c r="U126" s="329">
        <f t="shared" si="21"/>
        <v>459772.48799999995</v>
      </c>
      <c r="V126" s="329">
        <f t="shared" si="22"/>
        <v>33868.799999999996</v>
      </c>
      <c r="W126" s="329">
        <f t="shared" si="23"/>
        <v>32175.359999999993</v>
      </c>
      <c r="X126" s="329">
        <f t="shared" si="23"/>
        <v>30566.591999999993</v>
      </c>
      <c r="Y126" s="329">
        <f t="shared" si="23"/>
        <v>29038.262399999992</v>
      </c>
      <c r="Z126" s="329">
        <f t="shared" si="23"/>
        <v>27586.34927999999</v>
      </c>
    </row>
    <row r="127" spans="1:26" ht="12.75">
      <c r="A127" s="21"/>
      <c r="C127" s="42" t="str">
        <f>'C. Masterfiles'!C73</f>
        <v>T05</v>
      </c>
      <c r="D127" s="42" t="str">
        <f>'C. Masterfiles'!D73</f>
        <v>ISC-ISC</v>
      </c>
      <c r="E127" s="304" t="s">
        <v>728</v>
      </c>
      <c r="F127" s="149"/>
      <c r="G127" s="329">
        <f t="shared" si="17"/>
        <v>104000</v>
      </c>
      <c r="H127" s="329">
        <f t="shared" si="18"/>
        <v>98800</v>
      </c>
      <c r="I127" s="329">
        <f t="shared" si="18"/>
        <v>93860</v>
      </c>
      <c r="J127" s="329">
        <f t="shared" si="18"/>
        <v>89167</v>
      </c>
      <c r="K127" s="329">
        <f t="shared" si="18"/>
        <v>84708.65</v>
      </c>
      <c r="L127" s="329">
        <f t="shared" si="19"/>
        <v>12480</v>
      </c>
      <c r="M127" s="329">
        <f t="shared" si="20"/>
        <v>11856</v>
      </c>
      <c r="N127" s="329">
        <f t="shared" si="20"/>
        <v>11263.199999999999</v>
      </c>
      <c r="O127" s="329">
        <f t="shared" si="20"/>
        <v>10700.039999999999</v>
      </c>
      <c r="P127" s="329">
        <f t="shared" si="20"/>
        <v>10165.037999999999</v>
      </c>
      <c r="Q127" s="329">
        <f t="shared" si="21"/>
        <v>116480</v>
      </c>
      <c r="R127" s="329">
        <f t="shared" si="21"/>
        <v>110656</v>
      </c>
      <c r="S127" s="329">
        <f t="shared" si="21"/>
        <v>105123.2</v>
      </c>
      <c r="T127" s="329">
        <f t="shared" si="21"/>
        <v>99867.04</v>
      </c>
      <c r="U127" s="329">
        <f t="shared" si="21"/>
        <v>94873.688</v>
      </c>
      <c r="V127" s="329">
        <f t="shared" si="22"/>
        <v>6988.8</v>
      </c>
      <c r="W127" s="329">
        <f t="shared" si="23"/>
        <v>6639.36</v>
      </c>
      <c r="X127" s="329">
        <f t="shared" si="23"/>
        <v>6307.392</v>
      </c>
      <c r="Y127" s="329">
        <f t="shared" si="23"/>
        <v>5992.0224</v>
      </c>
      <c r="Z127" s="329">
        <f t="shared" si="23"/>
        <v>5692.42128</v>
      </c>
    </row>
    <row r="128" spans="1:26" ht="12.75">
      <c r="A128" s="21"/>
      <c r="C128" s="42" t="str">
        <f>'C. Masterfiles'!C74</f>
        <v>T06</v>
      </c>
      <c r="D128" s="42" t="str">
        <f>'C. Masterfiles'!D74</f>
        <v>ISC-IN</v>
      </c>
      <c r="E128" s="304" t="s">
        <v>728</v>
      </c>
      <c r="F128" s="149"/>
      <c r="G128" s="329">
        <f t="shared" si="17"/>
        <v>5000</v>
      </c>
      <c r="H128" s="329">
        <f t="shared" si="18"/>
        <v>4750</v>
      </c>
      <c r="I128" s="329">
        <f t="shared" si="18"/>
        <v>4512.5</v>
      </c>
      <c r="J128" s="329">
        <f t="shared" si="18"/>
        <v>4286.875</v>
      </c>
      <c r="K128" s="329">
        <f t="shared" si="18"/>
        <v>4072.53125</v>
      </c>
      <c r="L128" s="329">
        <f t="shared" si="19"/>
        <v>600</v>
      </c>
      <c r="M128" s="329">
        <f t="shared" si="20"/>
        <v>570</v>
      </c>
      <c r="N128" s="329">
        <f t="shared" si="20"/>
        <v>541.5</v>
      </c>
      <c r="O128" s="329">
        <f t="shared" si="20"/>
        <v>514.425</v>
      </c>
      <c r="P128" s="329">
        <f t="shared" si="20"/>
        <v>488.70374999999996</v>
      </c>
      <c r="Q128" s="329">
        <f t="shared" si="21"/>
        <v>5600</v>
      </c>
      <c r="R128" s="329">
        <f t="shared" si="21"/>
        <v>5320</v>
      </c>
      <c r="S128" s="329">
        <f t="shared" si="21"/>
        <v>5054</v>
      </c>
      <c r="T128" s="329">
        <f t="shared" si="21"/>
        <v>4801.3</v>
      </c>
      <c r="U128" s="329">
        <f t="shared" si="21"/>
        <v>4561.235</v>
      </c>
      <c r="V128" s="329">
        <f t="shared" si="22"/>
        <v>336</v>
      </c>
      <c r="W128" s="329">
        <f t="shared" si="23"/>
        <v>319.2</v>
      </c>
      <c r="X128" s="329">
        <f t="shared" si="23"/>
        <v>303.23999999999995</v>
      </c>
      <c r="Y128" s="329">
        <f t="shared" si="23"/>
        <v>288.0779999999999</v>
      </c>
      <c r="Z128" s="329">
        <f t="shared" si="23"/>
        <v>273.6740999999999</v>
      </c>
    </row>
    <row r="129" spans="1:26" ht="12.75">
      <c r="A129" s="21"/>
      <c r="C129" s="42" t="str">
        <f>'C. Masterfiles'!C75</f>
        <v>T07</v>
      </c>
      <c r="D129" s="42" t="str">
        <f>'C. Masterfiles'!D75</f>
        <v>TS-IN</v>
      </c>
      <c r="E129" s="304" t="s">
        <v>728</v>
      </c>
      <c r="F129" s="149"/>
      <c r="G129" s="329">
        <f t="shared" si="17"/>
        <v>4666.666666666666</v>
      </c>
      <c r="H129" s="329">
        <f t="shared" si="18"/>
        <v>4433.333333333332</v>
      </c>
      <c r="I129" s="329">
        <f t="shared" si="18"/>
        <v>4211.666666666665</v>
      </c>
      <c r="J129" s="329">
        <f t="shared" si="18"/>
        <v>4001.0833333333317</v>
      </c>
      <c r="K129" s="329">
        <f t="shared" si="18"/>
        <v>3801.029166666665</v>
      </c>
      <c r="L129" s="329">
        <f t="shared" si="19"/>
        <v>559.9999999999999</v>
      </c>
      <c r="M129" s="329">
        <f t="shared" si="20"/>
        <v>531.9999999999999</v>
      </c>
      <c r="N129" s="329">
        <f t="shared" si="20"/>
        <v>505.39999999999986</v>
      </c>
      <c r="O129" s="329">
        <f t="shared" si="20"/>
        <v>480.1299999999998</v>
      </c>
      <c r="P129" s="329">
        <f t="shared" si="20"/>
        <v>456.1234999999998</v>
      </c>
      <c r="Q129" s="329">
        <f aca="true" t="shared" si="24" ref="Q129:U131">G129+L129</f>
        <v>5226.666666666666</v>
      </c>
      <c r="R129" s="329">
        <f t="shared" si="24"/>
        <v>4965.333333333332</v>
      </c>
      <c r="S129" s="329">
        <f t="shared" si="24"/>
        <v>4717.066666666665</v>
      </c>
      <c r="T129" s="329">
        <f t="shared" si="24"/>
        <v>4481.213333333331</v>
      </c>
      <c r="U129" s="329">
        <f t="shared" si="24"/>
        <v>4257.152666666665</v>
      </c>
      <c r="V129" s="329">
        <f t="shared" si="22"/>
        <v>313.59999999999997</v>
      </c>
      <c r="W129" s="329">
        <f t="shared" si="23"/>
        <v>297.91999999999996</v>
      </c>
      <c r="X129" s="329">
        <f t="shared" si="23"/>
        <v>283.02399999999994</v>
      </c>
      <c r="Y129" s="329">
        <f t="shared" si="23"/>
        <v>268.8727999999999</v>
      </c>
      <c r="Z129" s="329">
        <f t="shared" si="23"/>
        <v>255.4291599999999</v>
      </c>
    </row>
    <row r="130" spans="1:26" ht="12.75">
      <c r="A130" s="21"/>
      <c r="C130" s="42" t="str">
        <f>'C. Masterfiles'!C76</f>
        <v>T08</v>
      </c>
      <c r="D130" s="42" t="str">
        <f>'C. Masterfiles'!D76</f>
        <v>TS-IGW</v>
      </c>
      <c r="E130" s="304" t="s">
        <v>728</v>
      </c>
      <c r="F130" s="149"/>
      <c r="G130" s="329">
        <f>IF('E. Graphs'!X$13=1,0,G92+G76)</f>
        <v>2553.3980582524277</v>
      </c>
      <c r="H130" s="329">
        <f t="shared" si="18"/>
        <v>2425.728155339806</v>
      </c>
      <c r="I130" s="329">
        <f t="shared" si="18"/>
        <v>2304.4417475728155</v>
      </c>
      <c r="J130" s="329">
        <f t="shared" si="18"/>
        <v>2189.2196601941746</v>
      </c>
      <c r="K130" s="329">
        <f t="shared" si="18"/>
        <v>2079.758677184466</v>
      </c>
      <c r="L130" s="329">
        <f t="shared" si="19"/>
        <v>306.4077669902913</v>
      </c>
      <c r="M130" s="329">
        <f t="shared" si="20"/>
        <v>291.0873786407767</v>
      </c>
      <c r="N130" s="329">
        <f t="shared" si="20"/>
        <v>276.53300970873784</v>
      </c>
      <c r="O130" s="329">
        <f t="shared" si="20"/>
        <v>262.7063592233009</v>
      </c>
      <c r="P130" s="329">
        <f t="shared" si="20"/>
        <v>249.57104126213585</v>
      </c>
      <c r="Q130" s="329">
        <f t="shared" si="24"/>
        <v>2859.805825242719</v>
      </c>
      <c r="R130" s="329">
        <f t="shared" si="24"/>
        <v>2716.8155339805826</v>
      </c>
      <c r="S130" s="329">
        <f t="shared" si="24"/>
        <v>2580.974757281553</v>
      </c>
      <c r="T130" s="329">
        <f t="shared" si="24"/>
        <v>2451.9260194174753</v>
      </c>
      <c r="U130" s="329">
        <f t="shared" si="24"/>
        <v>2329.329718446602</v>
      </c>
      <c r="V130" s="329">
        <f t="shared" si="22"/>
        <v>171.58834951456313</v>
      </c>
      <c r="W130" s="329">
        <f t="shared" si="23"/>
        <v>163.00893203883496</v>
      </c>
      <c r="X130" s="329">
        <f t="shared" si="23"/>
        <v>154.8584854368932</v>
      </c>
      <c r="Y130" s="329">
        <f t="shared" si="23"/>
        <v>147.11556116504855</v>
      </c>
      <c r="Z130" s="329">
        <f t="shared" si="23"/>
        <v>139.7597831067961</v>
      </c>
    </row>
    <row r="131" spans="1:26" ht="12.75">
      <c r="A131" s="21"/>
      <c r="C131" s="42" t="str">
        <f>'C. Masterfiles'!C77</f>
        <v>T09</v>
      </c>
      <c r="D131" s="42" t="str">
        <f>'C. Masterfiles'!D77</f>
        <v>LS-LS</v>
      </c>
      <c r="E131" s="304" t="s">
        <v>728</v>
      </c>
      <c r="F131" s="149"/>
      <c r="G131" s="329">
        <f t="shared" si="17"/>
        <v>2540</v>
      </c>
      <c r="H131" s="329">
        <f t="shared" si="18"/>
        <v>2413</v>
      </c>
      <c r="I131" s="329">
        <f t="shared" si="18"/>
        <v>2292.35</v>
      </c>
      <c r="J131" s="329">
        <f t="shared" si="18"/>
        <v>2177.7324999999996</v>
      </c>
      <c r="K131" s="329">
        <f t="shared" si="18"/>
        <v>2068.8458749999995</v>
      </c>
      <c r="L131" s="329">
        <f t="shared" si="19"/>
        <v>304.8</v>
      </c>
      <c r="M131" s="329">
        <f t="shared" si="20"/>
        <v>289.56</v>
      </c>
      <c r="N131" s="329">
        <f t="shared" si="20"/>
        <v>275.082</v>
      </c>
      <c r="O131" s="329">
        <f t="shared" si="20"/>
        <v>261.3279</v>
      </c>
      <c r="P131" s="329">
        <f t="shared" si="20"/>
        <v>248.261505</v>
      </c>
      <c r="Q131" s="329">
        <f t="shared" si="24"/>
        <v>2844.8</v>
      </c>
      <c r="R131" s="329">
        <f t="shared" si="24"/>
        <v>2702.56</v>
      </c>
      <c r="S131" s="329">
        <f t="shared" si="24"/>
        <v>2567.432</v>
      </c>
      <c r="T131" s="329">
        <f t="shared" si="24"/>
        <v>2439.0603999999994</v>
      </c>
      <c r="U131" s="329">
        <f t="shared" si="24"/>
        <v>2317.1073799999995</v>
      </c>
      <c r="V131" s="329">
        <f t="shared" si="22"/>
        <v>170.68800000000002</v>
      </c>
      <c r="W131" s="329">
        <f t="shared" si="23"/>
        <v>162.1536</v>
      </c>
      <c r="X131" s="329">
        <f t="shared" si="23"/>
        <v>154.04592</v>
      </c>
      <c r="Y131" s="329">
        <f t="shared" si="23"/>
        <v>146.34362399999998</v>
      </c>
      <c r="Z131" s="329">
        <f t="shared" si="23"/>
        <v>139.02644279999998</v>
      </c>
    </row>
    <row r="132" spans="1:26" ht="12.75">
      <c r="A132" s="21"/>
      <c r="C132" s="42" t="str">
        <f>'C. Masterfiles'!C78</f>
        <v>End</v>
      </c>
      <c r="D132" s="42" t="str">
        <f>'C. Masterfiles'!D78</f>
        <v>End of list</v>
      </c>
      <c r="E132" s="183"/>
      <c r="F132" s="183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</sheetData>
  <sheetProtection/>
  <mergeCells count="4">
    <mergeCell ref="C118:F119"/>
    <mergeCell ref="F49:L49"/>
    <mergeCell ref="F52:L52"/>
    <mergeCell ref="C99:F10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G275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4.7109375" style="1" customWidth="1"/>
    <col min="2" max="2" width="15.7109375" style="54" customWidth="1"/>
    <col min="3" max="3" width="7.8515625" style="1" customWidth="1"/>
    <col min="4" max="4" width="46.57421875" style="1" customWidth="1"/>
    <col min="5" max="5" width="20.7109375" style="1" customWidth="1"/>
    <col min="6" max="6" width="14.00390625" style="1" customWidth="1"/>
    <col min="7" max="8" width="13.7109375" style="123" customWidth="1"/>
    <col min="9" max="9" width="17.140625" style="123" customWidth="1"/>
    <col min="10" max="11" width="13.7109375" style="123" customWidth="1"/>
    <col min="12" max="12" width="10.421875" style="1" customWidth="1"/>
    <col min="13" max="13" width="21.421875" style="1" customWidth="1"/>
    <col min="14" max="16384" width="9.140625" style="1" customWidth="1"/>
  </cols>
  <sheetData>
    <row r="1" spans="1:5" s="21" customFormat="1" ht="26.25">
      <c r="A1" s="20">
        <v>6</v>
      </c>
      <c r="B1" s="22" t="s">
        <v>677</v>
      </c>
      <c r="D1" s="23"/>
      <c r="E1" s="24"/>
    </row>
    <row r="2" ht="12.75">
      <c r="C2" s="126"/>
    </row>
    <row r="3" spans="2:14" ht="15">
      <c r="B3" s="598" t="s">
        <v>247</v>
      </c>
      <c r="C3" s="257" t="s">
        <v>296</v>
      </c>
      <c r="D3" s="280"/>
      <c r="E3" s="597"/>
      <c r="F3" s="597"/>
      <c r="G3" s="597"/>
      <c r="H3" s="597"/>
      <c r="I3" s="596"/>
      <c r="J3" s="596"/>
      <c r="K3" s="596"/>
      <c r="L3" s="596"/>
      <c r="M3" s="596"/>
      <c r="N3" s="596"/>
    </row>
    <row r="4" spans="2:14" ht="15">
      <c r="B4" s="599" t="s">
        <v>249</v>
      </c>
      <c r="C4" s="244" t="s">
        <v>255</v>
      </c>
      <c r="D4" s="243"/>
      <c r="E4" s="597"/>
      <c r="F4" s="597"/>
      <c r="G4" s="597"/>
      <c r="H4" s="597"/>
      <c r="I4" s="596"/>
      <c r="J4" s="596"/>
      <c r="K4" s="596"/>
      <c r="L4" s="596"/>
      <c r="M4" s="596"/>
      <c r="N4" s="596"/>
    </row>
    <row r="5" spans="2:11" ht="12.75">
      <c r="B5" s="600" t="s">
        <v>251</v>
      </c>
      <c r="C5" s="323" t="s">
        <v>161</v>
      </c>
      <c r="D5" s="324"/>
      <c r="E5" s="324"/>
      <c r="F5" s="324"/>
      <c r="G5" s="324"/>
      <c r="H5" s="324"/>
      <c r="I5" s="324"/>
      <c r="J5" s="1"/>
      <c r="K5" s="1"/>
    </row>
    <row r="6" spans="2:11" ht="12.75">
      <c r="B6" s="600"/>
      <c r="C6" s="323" t="s">
        <v>162</v>
      </c>
      <c r="D6" s="324"/>
      <c r="E6" s="324"/>
      <c r="F6" s="324"/>
      <c r="G6" s="324"/>
      <c r="H6" s="324"/>
      <c r="I6" s="324"/>
      <c r="J6" s="1"/>
      <c r="K6" s="1"/>
    </row>
    <row r="7" spans="2:11" ht="12.75">
      <c r="B7" s="600"/>
      <c r="C7" s="323" t="s">
        <v>163</v>
      </c>
      <c r="D7" s="324"/>
      <c r="E7" s="324"/>
      <c r="F7" s="324"/>
      <c r="G7" s="324"/>
      <c r="H7" s="324"/>
      <c r="I7" s="324"/>
      <c r="J7" s="1"/>
      <c r="K7" s="1"/>
    </row>
    <row r="8" spans="2:11" ht="12.75">
      <c r="B8" s="601" t="s">
        <v>252</v>
      </c>
      <c r="C8" s="258" t="s">
        <v>317</v>
      </c>
      <c r="D8" s="281"/>
      <c r="E8" s="281"/>
      <c r="F8" s="281"/>
      <c r="G8" s="281"/>
      <c r="H8" s="281"/>
      <c r="I8" s="281"/>
      <c r="J8" s="1"/>
      <c r="K8" s="1"/>
    </row>
    <row r="9" spans="2:11" ht="12.75">
      <c r="B9" s="601"/>
      <c r="C9" s="258" t="s">
        <v>318</v>
      </c>
      <c r="D9" s="281"/>
      <c r="E9" s="281"/>
      <c r="F9" s="281"/>
      <c r="G9" s="281"/>
      <c r="H9" s="281"/>
      <c r="I9" s="281"/>
      <c r="J9" s="1"/>
      <c r="K9" s="1"/>
    </row>
    <row r="10" spans="2:11" ht="12.75">
      <c r="B10" s="602" t="s">
        <v>254</v>
      </c>
      <c r="C10" s="259" t="s">
        <v>164</v>
      </c>
      <c r="D10" s="255"/>
      <c r="E10" s="255"/>
      <c r="F10" s="255"/>
      <c r="G10" s="255"/>
      <c r="H10" s="255"/>
      <c r="I10" s="255"/>
      <c r="J10" s="1"/>
      <c r="K10" s="1"/>
    </row>
    <row r="11" spans="2:11" s="21" customFormat="1" ht="12.75">
      <c r="B11" s="25"/>
      <c r="C11" s="114"/>
      <c r="D11" s="23"/>
      <c r="E11" s="24"/>
      <c r="G11" s="118"/>
      <c r="H11" s="117"/>
      <c r="I11" s="117"/>
      <c r="J11" s="117"/>
      <c r="K11" s="117"/>
    </row>
    <row r="13" spans="1:28" ht="15.75">
      <c r="A13" s="28"/>
      <c r="B13" s="267">
        <f>A1+0.01</f>
        <v>6.01</v>
      </c>
      <c r="C13" s="29" t="s">
        <v>798</v>
      </c>
      <c r="D13" s="28"/>
      <c r="E13" s="30"/>
      <c r="F13" s="30"/>
      <c r="G13" s="119"/>
      <c r="H13" s="119"/>
      <c r="I13" s="119"/>
      <c r="J13" s="119"/>
      <c r="K13" s="119"/>
      <c r="L13" s="32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5" spans="3:11" ht="12.75">
      <c r="C15" s="90" t="s">
        <v>634</v>
      </c>
      <c r="D15" s="90" t="s">
        <v>686</v>
      </c>
      <c r="E15" s="91" t="s">
        <v>779</v>
      </c>
      <c r="F15" s="120">
        <f>'C. Masterfiles'!E$99</f>
        <v>2008</v>
      </c>
      <c r="G15" s="120">
        <f>'C. Masterfiles'!F$99</f>
        <v>2009</v>
      </c>
      <c r="H15" s="120">
        <f>'C. Masterfiles'!G$99</f>
        <v>2010</v>
      </c>
      <c r="I15" s="120">
        <f>'C. Masterfiles'!H$99</f>
        <v>2011</v>
      </c>
      <c r="J15" s="120">
        <f>'C. Masterfiles'!I$99</f>
        <v>2012</v>
      </c>
      <c r="K15" s="1"/>
    </row>
    <row r="16" spans="3:11" ht="12.75">
      <c r="C16" s="312" t="str">
        <f>'C. Masterfiles'!C$84</f>
        <v>S01</v>
      </c>
      <c r="D16" s="312" t="str">
        <f>'C. Masterfiles'!D84</f>
        <v>On-net local calls</v>
      </c>
      <c r="E16" s="312" t="str">
        <f>'C. Masterfiles'!E84</f>
        <v>Voice Minutes</v>
      </c>
      <c r="F16" s="313">
        <f>'2.Traffic'!F123</f>
        <v>2807.157466666667</v>
      </c>
      <c r="G16" s="313">
        <f>'2.Traffic'!G123</f>
        <v>2751.9422999999997</v>
      </c>
      <c r="H16" s="313">
        <f>'2.Traffic'!H123</f>
        <v>2686.4</v>
      </c>
      <c r="I16" s="313">
        <f>'2.Traffic'!I123</f>
        <v>2638.978146666666</v>
      </c>
      <c r="J16" s="313">
        <f>'2.Traffic'!J123</f>
        <v>2536.9549696</v>
      </c>
      <c r="K16" s="1"/>
    </row>
    <row r="17" spans="3:11" ht="12.75">
      <c r="C17" s="312" t="str">
        <f>'C. Masterfiles'!C85</f>
        <v>S02</v>
      </c>
      <c r="D17" s="312" t="str">
        <f>'C. Masterfiles'!D85</f>
        <v>On-net national calls</v>
      </c>
      <c r="E17" s="312" t="str">
        <f>'C. Masterfiles'!E85</f>
        <v>Voice Minutes</v>
      </c>
      <c r="F17" s="313">
        <f>'2.Traffic'!F124</f>
        <v>436.17063333333334</v>
      </c>
      <c r="G17" s="313">
        <f>'2.Traffic'!G124</f>
        <v>387.2706444444445</v>
      </c>
      <c r="H17" s="313">
        <f>'2.Traffic'!H124</f>
        <v>359.6163466666667</v>
      </c>
      <c r="I17" s="313">
        <f>'2.Traffic'!I124</f>
        <v>327.9417078888889</v>
      </c>
      <c r="J17" s="313">
        <f>'2.Traffic'!J124</f>
        <v>292.66159253333336</v>
      </c>
      <c r="K17" s="1"/>
    </row>
    <row r="18" spans="3:11" ht="12.75">
      <c r="C18" s="312" t="str">
        <f>'C. Masterfiles'!C86</f>
        <v>S03</v>
      </c>
      <c r="D18" s="312" t="str">
        <f>'C. Masterfiles'!D86</f>
        <v>Originating calls (local)</v>
      </c>
      <c r="E18" s="312" t="str">
        <f>'C. Masterfiles'!E86</f>
        <v>Voice Minutes</v>
      </c>
      <c r="F18" s="313">
        <f>'2.Traffic'!F125</f>
        <v>74.67779642857143</v>
      </c>
      <c r="G18" s="313">
        <f>'2.Traffic'!G125</f>
        <v>68.11732649523809</v>
      </c>
      <c r="H18" s="313">
        <f>'2.Traffic'!H125</f>
        <v>66.16747876571428</v>
      </c>
      <c r="I18" s="313">
        <f>'2.Traffic'!I125</f>
        <v>65.4467944292857</v>
      </c>
      <c r="J18" s="313">
        <f>'2.Traffic'!J125</f>
        <v>65.61809695817142</v>
      </c>
      <c r="K18" s="1"/>
    </row>
    <row r="19" spans="3:11" ht="12.75">
      <c r="C19" s="312" t="str">
        <f>'C. Masterfiles'!C87</f>
        <v>S04</v>
      </c>
      <c r="D19" s="312" t="str">
        <f>'C. Masterfiles'!D87</f>
        <v>Originating calls (national) </v>
      </c>
      <c r="E19" s="312" t="str">
        <f>'C. Masterfiles'!E87</f>
        <v>Voice Minutes</v>
      </c>
      <c r="F19" s="313">
        <f>'2.Traffic'!F126</f>
        <v>126.83222204081632</v>
      </c>
      <c r="G19" s="313">
        <f>'2.Traffic'!G126</f>
        <v>106.96836911020408</v>
      </c>
      <c r="H19" s="313">
        <f>'2.Traffic'!H126</f>
        <v>93.0116737567347</v>
      </c>
      <c r="I19" s="313">
        <f>'2.Traffic'!I126</f>
        <v>79.9861532212245</v>
      </c>
      <c r="J19" s="313">
        <f>'2.Traffic'!J126</f>
        <v>67.31378517472652</v>
      </c>
      <c r="K19" s="1"/>
    </row>
    <row r="20" spans="3:11" ht="12.75">
      <c r="C20" s="312" t="str">
        <f>'C. Masterfiles'!C88</f>
        <v>S05</v>
      </c>
      <c r="D20" s="312" t="str">
        <f>'C. Masterfiles'!D88</f>
        <v>Originating calls (international)</v>
      </c>
      <c r="E20" s="312" t="str">
        <f>'C. Masterfiles'!E88</f>
        <v>Voice Minutes</v>
      </c>
      <c r="F20" s="313">
        <f>'2.Traffic'!F127</f>
        <v>134.83553625000002</v>
      </c>
      <c r="G20" s="313">
        <f>'2.Traffic'!G127</f>
        <v>93.03014250000001</v>
      </c>
      <c r="H20" s="313">
        <f>'2.Traffic'!H127</f>
        <v>78.232959</v>
      </c>
      <c r="I20" s="313">
        <f>'2.Traffic'!I127</f>
        <v>60.10203583124999</v>
      </c>
      <c r="J20" s="313">
        <f>'2.Traffic'!J127</f>
        <v>45.18564156</v>
      </c>
      <c r="K20" s="1"/>
    </row>
    <row r="21" spans="3:11" ht="12.75">
      <c r="C21" s="312" t="str">
        <f>'C. Masterfiles'!C89</f>
        <v>S06</v>
      </c>
      <c r="D21" s="312" t="str">
        <f>'C. Masterfiles'!D89</f>
        <v>Terminating calls (local)</v>
      </c>
      <c r="E21" s="312" t="str">
        <f>'C. Masterfiles'!E89</f>
        <v>Voice Minutes</v>
      </c>
      <c r="F21" s="313">
        <f>'2.Traffic'!F128</f>
        <v>67.32230133333333</v>
      </c>
      <c r="G21" s="313">
        <f>'2.Traffic'!G128</f>
        <v>71.24972133333333</v>
      </c>
      <c r="H21" s="313">
        <f>'2.Traffic'!H128</f>
        <v>80.1602215111111</v>
      </c>
      <c r="I21" s="313">
        <f>'2.Traffic'!I128</f>
        <v>88.5376878688889</v>
      </c>
      <c r="J21" s="313">
        <f>'2.Traffic'!J128</f>
        <v>96.21140070399998</v>
      </c>
      <c r="K21" s="1"/>
    </row>
    <row r="22" spans="3:11" ht="12.75">
      <c r="C22" s="312" t="str">
        <f>'C. Masterfiles'!C90</f>
        <v>S07</v>
      </c>
      <c r="D22" s="312" t="str">
        <f>'C. Masterfiles'!D90</f>
        <v>Terminating calls (national) </v>
      </c>
      <c r="E22" s="312" t="str">
        <f>'C. Masterfiles'!E90</f>
        <v>Voice Minutes</v>
      </c>
      <c r="F22" s="313">
        <f>'2.Traffic'!F129</f>
        <v>95.88123271836734</v>
      </c>
      <c r="G22" s="313">
        <f>'2.Traffic'!G129</f>
        <v>97.38383777959186</v>
      </c>
      <c r="H22" s="313">
        <f>'2.Traffic'!H129</f>
        <v>102.92727724408165</v>
      </c>
      <c r="I22" s="313">
        <f>'2.Traffic'!I129</f>
        <v>107.09699809697959</v>
      </c>
      <c r="J22" s="313">
        <f>'2.Traffic'!J129</f>
        <v>109.0525842369306</v>
      </c>
      <c r="K22" s="1"/>
    </row>
    <row r="23" spans="3:11" ht="12.75">
      <c r="C23" s="312" t="str">
        <f>'C. Masterfiles'!C91</f>
        <v>S08</v>
      </c>
      <c r="D23" s="312" t="str">
        <f>'C. Masterfiles'!D91</f>
        <v>Terminating calls (international)</v>
      </c>
      <c r="E23" s="312" t="str">
        <f>'C. Masterfiles'!E91</f>
        <v>Voice Minutes</v>
      </c>
      <c r="F23" s="313">
        <f>'2.Traffic'!F130</f>
        <v>437.80564125</v>
      </c>
      <c r="G23" s="313">
        <f>'2.Traffic'!G130</f>
        <v>400.90951125</v>
      </c>
      <c r="H23" s="313">
        <f>'2.Traffic'!H130</f>
        <v>386.29098000000005</v>
      </c>
      <c r="I23" s="313">
        <f>'2.Traffic'!I130</f>
        <v>364.4362537875</v>
      </c>
      <c r="J23" s="313">
        <f>'2.Traffic'!J130</f>
        <v>336.465414</v>
      </c>
      <c r="K23" s="1"/>
    </row>
    <row r="24" spans="3:11" ht="12.75">
      <c r="C24" s="312" t="str">
        <f>'C. Masterfiles'!C92</f>
        <v>S09</v>
      </c>
      <c r="D24" s="312" t="str">
        <f>'C. Masterfiles'!D92</f>
        <v>Transit calls</v>
      </c>
      <c r="E24" s="312" t="str">
        <f>'C. Masterfiles'!E92</f>
        <v>Voice Minutes</v>
      </c>
      <c r="F24" s="313">
        <f>'2.Traffic'!F131</f>
        <v>180.691344</v>
      </c>
      <c r="G24" s="313">
        <f>'2.Traffic'!G131</f>
        <v>134.06390399999998</v>
      </c>
      <c r="H24" s="313">
        <f>'2.Traffic'!H131</f>
        <v>158.0682912</v>
      </c>
      <c r="I24" s="313">
        <f>'2.Traffic'!I131</f>
        <v>152.27708004000002</v>
      </c>
      <c r="J24" s="313">
        <f>'2.Traffic'!J131</f>
        <v>143.56089907199998</v>
      </c>
      <c r="K24" s="1"/>
    </row>
    <row r="25" spans="3:11" ht="12.75">
      <c r="C25" s="312" t="str">
        <f>'C. Masterfiles'!C93</f>
        <v>S10</v>
      </c>
      <c r="D25" s="312" t="str">
        <f>'C. Masterfiles'!D93</f>
        <v>Calls to directory enquiries, emergency &amp; helpdesk</v>
      </c>
      <c r="E25" s="312" t="str">
        <f>'C. Masterfiles'!E93</f>
        <v>Voice Minutes</v>
      </c>
      <c r="F25" s="313">
        <f>'2.Traffic'!F132</f>
        <v>3.2723717657142855</v>
      </c>
      <c r="G25" s="313">
        <f>'2.Traffic'!G132</f>
        <v>3.2390895214285713</v>
      </c>
      <c r="H25" s="313">
        <f>'2.Traffic'!H132</f>
        <v>3.336366857142857</v>
      </c>
      <c r="I25" s="313">
        <f>'2.Traffic'!I132</f>
        <v>3.272903357142857</v>
      </c>
      <c r="J25" s="313">
        <f>'2.Traffic'!J132</f>
        <v>3.141987222857143</v>
      </c>
      <c r="K25" s="1"/>
    </row>
    <row r="26" spans="3:11" ht="12.75">
      <c r="C26" s="312" t="str">
        <f>'C. Masterfiles'!C94</f>
        <v>S11</v>
      </c>
      <c r="D26" s="312" t="str">
        <f>'C. Masterfiles'!D94</f>
        <v>Calls to non-geographic numbers</v>
      </c>
      <c r="E26" s="312" t="str">
        <f>'C. Masterfiles'!E94</f>
        <v>Voice Minutes</v>
      </c>
      <c r="F26" s="313">
        <f>'2.Traffic'!F133</f>
        <v>1.9468837063636366</v>
      </c>
      <c r="G26" s="313">
        <f>'2.Traffic'!G133</f>
        <v>1.7984297465734267</v>
      </c>
      <c r="H26" s="313">
        <f>'2.Traffic'!H133</f>
        <v>1.3644189250349652</v>
      </c>
      <c r="I26" s="313">
        <f>'2.Traffic'!I133</f>
        <v>1.4229999549685315</v>
      </c>
      <c r="J26" s="313">
        <f>'2.Traffic'!J133</f>
        <v>1.5098778469560838</v>
      </c>
      <c r="K26" s="1"/>
    </row>
    <row r="27" spans="3:11" ht="12.75">
      <c r="C27" s="312" t="str">
        <f>'C. Masterfiles'!C95</f>
        <v>S12</v>
      </c>
      <c r="D27" s="312" t="str">
        <f>'C. Masterfiles'!D95</f>
        <v>Internet dial-up calls</v>
      </c>
      <c r="E27" s="312" t="str">
        <f>'C. Masterfiles'!E95</f>
        <v>Voice Minutes</v>
      </c>
      <c r="F27" s="313">
        <f>'2.Traffic'!F134</f>
        <v>408.414772</v>
      </c>
      <c r="G27" s="313">
        <f>'2.Traffic'!G134</f>
        <v>245.83014355555554</v>
      </c>
      <c r="H27" s="313">
        <f>'2.Traffic'!H134</f>
        <v>80.78982044444444</v>
      </c>
      <c r="I27" s="313">
        <f>'2.Traffic'!I134</f>
        <v>37.80417177111111</v>
      </c>
      <c r="J27" s="313">
        <f>'2.Traffic'!J134</f>
        <v>17.311498197333332</v>
      </c>
      <c r="K27" s="1"/>
    </row>
    <row r="28" spans="3:11" ht="12.75">
      <c r="C28" s="312" t="str">
        <f>'C. Masterfiles'!C96</f>
        <v>End</v>
      </c>
      <c r="D28" s="312" t="str">
        <f>'C. Masterfiles'!D96</f>
        <v>End of list</v>
      </c>
      <c r="E28" s="312" t="str">
        <f>'C. Masterfiles'!E96</f>
        <v>End</v>
      </c>
      <c r="F28" s="183"/>
      <c r="G28" s="183"/>
      <c r="H28" s="156"/>
      <c r="I28" s="156"/>
      <c r="J28" s="156"/>
      <c r="K28" s="1"/>
    </row>
    <row r="30" spans="2:10" s="234" customFormat="1" ht="12.75">
      <c r="B30" s="54"/>
      <c r="C30" s="235"/>
      <c r="D30" s="235"/>
      <c r="E30" s="235"/>
      <c r="F30" s="235" t="str">
        <f>IF(SUM(F16:F28)/SUM(F31:F31)&lt;=1,"ok","error")</f>
        <v>ok</v>
      </c>
      <c r="G30" s="235" t="str">
        <f>IF(SUM(G16:G28)/SUM(G31:G31)&lt;=1,"ok","error")</f>
        <v>ok</v>
      </c>
      <c r="H30" s="235" t="str">
        <f>IF(SUM(H16:H28)/SUM(H31:H31)&lt;=1,"ok","error")</f>
        <v>ok</v>
      </c>
      <c r="I30" s="235" t="str">
        <f>IF(SUM(I16:I28)/SUM(I31:I31)&lt;=1,"ok","error")</f>
        <v>ok</v>
      </c>
      <c r="J30" s="235" t="str">
        <f>IF(SUM(J16:J28)/SUM(J31:J31)&lt;=1,"ok","error")</f>
        <v>ok</v>
      </c>
    </row>
    <row r="31" spans="3:11" ht="12.75">
      <c r="C31" s="56"/>
      <c r="D31" s="115" t="s">
        <v>784</v>
      </c>
      <c r="E31" s="10"/>
      <c r="F31" s="122">
        <f>SUMIF($E$16:$E$28,"voice minutes",F$16:F$28)</f>
        <v>4775.008201493167</v>
      </c>
      <c r="G31" s="122">
        <f>SUMIF($E$16:$E$28,"voice minutes",G$16:G$28)</f>
        <v>4361.8034197363695</v>
      </c>
      <c r="H31" s="122">
        <f>SUMIF($E$16:$E$28,"voice minutes",H$16:H$28)</f>
        <v>4096.365834370931</v>
      </c>
      <c r="I31" s="122">
        <f>SUMIF($E$16:$E$28,"voice minutes",I$16:I$28)</f>
        <v>3927.302932913905</v>
      </c>
      <c r="J31" s="122">
        <f>SUMIF($E$16:$E$28,"voice minutes",J$16:J$28)</f>
        <v>3714.987747106309</v>
      </c>
      <c r="K31" s="1"/>
    </row>
    <row r="32" spans="7:11" ht="12.75">
      <c r="G32" s="144"/>
      <c r="H32" s="144"/>
      <c r="I32" s="144"/>
      <c r="J32" s="144"/>
      <c r="K32" s="144"/>
    </row>
    <row r="33" spans="7:11" ht="12.75">
      <c r="G33" s="144"/>
      <c r="H33" s="144"/>
      <c r="I33" s="144"/>
      <c r="J33" s="144"/>
      <c r="K33" s="144"/>
    </row>
    <row r="34" spans="1:28" ht="15.75">
      <c r="A34" s="28"/>
      <c r="B34" s="267">
        <f>B13+0.01</f>
        <v>6.02</v>
      </c>
      <c r="C34" s="29" t="s">
        <v>130</v>
      </c>
      <c r="D34" s="28"/>
      <c r="E34" s="30"/>
      <c r="F34" s="30"/>
      <c r="G34" s="144"/>
      <c r="H34" s="144"/>
      <c r="I34" s="144"/>
      <c r="J34" s="144"/>
      <c r="K34" s="144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6" spans="3:11" ht="12.75">
      <c r="C36" s="90" t="s">
        <v>634</v>
      </c>
      <c r="D36" s="90" t="s">
        <v>686</v>
      </c>
      <c r="E36" s="91" t="s">
        <v>652</v>
      </c>
      <c r="F36" s="92" t="s">
        <v>698</v>
      </c>
      <c r="G36" s="120">
        <f>'C. Masterfiles'!E$99</f>
        <v>2008</v>
      </c>
      <c r="H36" s="120">
        <f>'C. Masterfiles'!F$99</f>
        <v>2009</v>
      </c>
      <c r="I36" s="120">
        <f>'C. Masterfiles'!G$99</f>
        <v>2010</v>
      </c>
      <c r="J36" s="120">
        <f>'C. Masterfiles'!H$99</f>
        <v>2011</v>
      </c>
      <c r="K36" s="120">
        <f>'C. Masterfiles'!I$99</f>
        <v>2012</v>
      </c>
    </row>
    <row r="37" spans="3:11" ht="12.75">
      <c r="C37" s="312" t="str">
        <f>'C. Masterfiles'!C84</f>
        <v>S01</v>
      </c>
      <c r="D37" s="312" t="str">
        <f>'C. Masterfiles'!D84</f>
        <v>On-net local calls</v>
      </c>
      <c r="E37" s="312" t="str">
        <f>'C. Masterfiles'!E84</f>
        <v>Voice Minutes</v>
      </c>
      <c r="F37" s="314">
        <f aca="true" t="shared" si="0" ref="F37:F48">IF(E37="voice minutes",BHEvoice,0)</f>
        <v>6.666666666666667E-06</v>
      </c>
      <c r="G37" s="315">
        <f aca="true" t="shared" si="1" ref="G37:K48">$F37*F16*1000000</f>
        <v>18714.383111111114</v>
      </c>
      <c r="H37" s="315">
        <f t="shared" si="1"/>
        <v>18346.282</v>
      </c>
      <c r="I37" s="315">
        <f t="shared" si="1"/>
        <v>17909.333333333332</v>
      </c>
      <c r="J37" s="315">
        <f t="shared" si="1"/>
        <v>17593.18764444444</v>
      </c>
      <c r="K37" s="315">
        <f t="shared" si="1"/>
        <v>16913.033130666667</v>
      </c>
    </row>
    <row r="38" spans="3:11" ht="12.75">
      <c r="C38" s="312" t="str">
        <f>'C. Masterfiles'!C85</f>
        <v>S02</v>
      </c>
      <c r="D38" s="312" t="str">
        <f>'C. Masterfiles'!D85</f>
        <v>On-net national calls</v>
      </c>
      <c r="E38" s="312" t="str">
        <f>'C. Masterfiles'!E85</f>
        <v>Voice Minutes</v>
      </c>
      <c r="F38" s="314">
        <f t="shared" si="0"/>
        <v>6.666666666666667E-06</v>
      </c>
      <c r="G38" s="315">
        <f t="shared" si="1"/>
        <v>2907.8042222222225</v>
      </c>
      <c r="H38" s="315">
        <f t="shared" si="1"/>
        <v>2581.8042962962963</v>
      </c>
      <c r="I38" s="315">
        <f t="shared" si="1"/>
        <v>2397.4423111111114</v>
      </c>
      <c r="J38" s="315">
        <f t="shared" si="1"/>
        <v>2186.2780525925928</v>
      </c>
      <c r="K38" s="315">
        <f t="shared" si="1"/>
        <v>1951.0772835555558</v>
      </c>
    </row>
    <row r="39" spans="3:11" ht="12.75">
      <c r="C39" s="312" t="str">
        <f>'C. Masterfiles'!C86</f>
        <v>S03</v>
      </c>
      <c r="D39" s="312" t="str">
        <f>'C. Masterfiles'!D86</f>
        <v>Originating calls (local)</v>
      </c>
      <c r="E39" s="312" t="str">
        <f>'C. Masterfiles'!E86</f>
        <v>Voice Minutes</v>
      </c>
      <c r="F39" s="314">
        <f t="shared" si="0"/>
        <v>6.666666666666667E-06</v>
      </c>
      <c r="G39" s="315">
        <f t="shared" si="1"/>
        <v>497.8519761904762</v>
      </c>
      <c r="H39" s="315">
        <f t="shared" si="1"/>
        <v>454.11550996825395</v>
      </c>
      <c r="I39" s="315">
        <f t="shared" si="1"/>
        <v>441.1165251047618</v>
      </c>
      <c r="J39" s="315">
        <f t="shared" si="1"/>
        <v>436.31196286190465</v>
      </c>
      <c r="K39" s="315">
        <f t="shared" si="1"/>
        <v>437.4539797211428</v>
      </c>
    </row>
    <row r="40" spans="3:11" ht="12.75">
      <c r="C40" s="312" t="str">
        <f>'C. Masterfiles'!C87</f>
        <v>S04</v>
      </c>
      <c r="D40" s="312" t="str">
        <f>'C. Masterfiles'!D87</f>
        <v>Originating calls (national) </v>
      </c>
      <c r="E40" s="312" t="str">
        <f>'C. Masterfiles'!E87</f>
        <v>Voice Minutes</v>
      </c>
      <c r="F40" s="314">
        <f t="shared" si="0"/>
        <v>6.666666666666667E-06</v>
      </c>
      <c r="G40" s="315">
        <f t="shared" si="1"/>
        <v>845.5481469387755</v>
      </c>
      <c r="H40" s="315">
        <f t="shared" si="1"/>
        <v>713.1224607346938</v>
      </c>
      <c r="I40" s="315">
        <f t="shared" si="1"/>
        <v>620.077825044898</v>
      </c>
      <c r="J40" s="315">
        <f t="shared" si="1"/>
        <v>533.24102147483</v>
      </c>
      <c r="K40" s="315">
        <f t="shared" si="1"/>
        <v>448.7585678315101</v>
      </c>
    </row>
    <row r="41" spans="3:11" ht="12.75">
      <c r="C41" s="312" t="str">
        <f>'C. Masterfiles'!C88</f>
        <v>S05</v>
      </c>
      <c r="D41" s="312" t="str">
        <f>'C. Masterfiles'!D88</f>
        <v>Originating calls (international)</v>
      </c>
      <c r="E41" s="312" t="str">
        <f>'C. Masterfiles'!E88</f>
        <v>Voice Minutes</v>
      </c>
      <c r="F41" s="314">
        <f t="shared" si="0"/>
        <v>6.666666666666667E-06</v>
      </c>
      <c r="G41" s="315">
        <f t="shared" si="1"/>
        <v>898.9035750000002</v>
      </c>
      <c r="H41" s="315">
        <f t="shared" si="1"/>
        <v>620.2009500000001</v>
      </c>
      <c r="I41" s="315">
        <f t="shared" si="1"/>
        <v>521.55306</v>
      </c>
      <c r="J41" s="315">
        <f t="shared" si="1"/>
        <v>400.680238875</v>
      </c>
      <c r="K41" s="315">
        <f t="shared" si="1"/>
        <v>301.2376104</v>
      </c>
    </row>
    <row r="42" spans="3:11" ht="12.75">
      <c r="C42" s="312" t="str">
        <f>'C. Masterfiles'!C89</f>
        <v>S06</v>
      </c>
      <c r="D42" s="312" t="str">
        <f>'C. Masterfiles'!D89</f>
        <v>Terminating calls (local)</v>
      </c>
      <c r="E42" s="312" t="str">
        <f>'C. Masterfiles'!E89</f>
        <v>Voice Minutes</v>
      </c>
      <c r="F42" s="314">
        <f t="shared" si="0"/>
        <v>6.666666666666667E-06</v>
      </c>
      <c r="G42" s="315">
        <f t="shared" si="1"/>
        <v>448.81534222222217</v>
      </c>
      <c r="H42" s="315">
        <f t="shared" si="1"/>
        <v>474.9981422222222</v>
      </c>
      <c r="I42" s="315">
        <f t="shared" si="1"/>
        <v>534.4014767407407</v>
      </c>
      <c r="J42" s="315">
        <f t="shared" si="1"/>
        <v>590.2512524592593</v>
      </c>
      <c r="K42" s="315">
        <f t="shared" si="1"/>
        <v>641.4093380266665</v>
      </c>
    </row>
    <row r="43" spans="3:11" ht="12.75">
      <c r="C43" s="312" t="str">
        <f>'C. Masterfiles'!C90</f>
        <v>S07</v>
      </c>
      <c r="D43" s="312" t="str">
        <f>'C. Masterfiles'!D90</f>
        <v>Terminating calls (national) </v>
      </c>
      <c r="E43" s="312" t="str">
        <f>'C. Masterfiles'!E90</f>
        <v>Voice Minutes</v>
      </c>
      <c r="F43" s="314">
        <f t="shared" si="0"/>
        <v>6.666666666666667E-06</v>
      </c>
      <c r="G43" s="315">
        <f t="shared" si="1"/>
        <v>639.208218122449</v>
      </c>
      <c r="H43" s="315">
        <f t="shared" si="1"/>
        <v>649.225585197279</v>
      </c>
      <c r="I43" s="315">
        <f t="shared" si="1"/>
        <v>686.1818482938777</v>
      </c>
      <c r="J43" s="315">
        <f t="shared" si="1"/>
        <v>713.9799873131973</v>
      </c>
      <c r="K43" s="315">
        <f t="shared" si="1"/>
        <v>727.017228246204</v>
      </c>
    </row>
    <row r="44" spans="3:11" ht="12.75">
      <c r="C44" s="312" t="str">
        <f>'C. Masterfiles'!C91</f>
        <v>S08</v>
      </c>
      <c r="D44" s="312" t="str">
        <f>'C. Masterfiles'!D91</f>
        <v>Terminating calls (international)</v>
      </c>
      <c r="E44" s="312" t="str">
        <f>'C. Masterfiles'!E91</f>
        <v>Voice Minutes</v>
      </c>
      <c r="F44" s="314">
        <f t="shared" si="0"/>
        <v>6.666666666666667E-06</v>
      </c>
      <c r="G44" s="315">
        <f t="shared" si="1"/>
        <v>2918.704275</v>
      </c>
      <c r="H44" s="315">
        <f t="shared" si="1"/>
        <v>2672.730075</v>
      </c>
      <c r="I44" s="315">
        <f t="shared" si="1"/>
        <v>2575.2732000000005</v>
      </c>
      <c r="J44" s="315">
        <f t="shared" si="1"/>
        <v>2429.5750252499997</v>
      </c>
      <c r="K44" s="315">
        <f t="shared" si="1"/>
        <v>2243.1027599999998</v>
      </c>
    </row>
    <row r="45" spans="3:11" ht="12.75">
      <c r="C45" s="312" t="str">
        <f>'C. Masterfiles'!C92</f>
        <v>S09</v>
      </c>
      <c r="D45" s="312" t="str">
        <f>'C. Masterfiles'!D92</f>
        <v>Transit calls</v>
      </c>
      <c r="E45" s="312" t="str">
        <f>'C. Masterfiles'!E92</f>
        <v>Voice Minutes</v>
      </c>
      <c r="F45" s="314">
        <f t="shared" si="0"/>
        <v>6.666666666666667E-06</v>
      </c>
      <c r="G45" s="315">
        <f t="shared" si="1"/>
        <v>1204.6089599999998</v>
      </c>
      <c r="H45" s="315">
        <f t="shared" si="1"/>
        <v>893.7593599999999</v>
      </c>
      <c r="I45" s="315">
        <f t="shared" si="1"/>
        <v>1053.788608</v>
      </c>
      <c r="J45" s="315">
        <f t="shared" si="1"/>
        <v>1015.1805336000002</v>
      </c>
      <c r="K45" s="315">
        <f t="shared" si="1"/>
        <v>957.0726604799999</v>
      </c>
    </row>
    <row r="46" spans="3:11" ht="12.75">
      <c r="C46" s="312" t="str">
        <f>'C. Masterfiles'!C93</f>
        <v>S10</v>
      </c>
      <c r="D46" s="312" t="str">
        <f>'C. Masterfiles'!D93</f>
        <v>Calls to directory enquiries, emergency &amp; helpdesk</v>
      </c>
      <c r="E46" s="312" t="str">
        <f>'C. Masterfiles'!E93</f>
        <v>Voice Minutes</v>
      </c>
      <c r="F46" s="314">
        <f t="shared" si="0"/>
        <v>6.666666666666667E-06</v>
      </c>
      <c r="G46" s="315">
        <f t="shared" si="1"/>
        <v>21.81581177142857</v>
      </c>
      <c r="H46" s="315">
        <f t="shared" si="1"/>
        <v>21.593930142857143</v>
      </c>
      <c r="I46" s="315">
        <f t="shared" si="1"/>
        <v>22.24244571428571</v>
      </c>
      <c r="J46" s="315">
        <f t="shared" si="1"/>
        <v>21.819355714285713</v>
      </c>
      <c r="K46" s="315">
        <f t="shared" si="1"/>
        <v>20.946581485714283</v>
      </c>
    </row>
    <row r="47" spans="3:11" ht="12.75">
      <c r="C47" s="312" t="str">
        <f>'C. Masterfiles'!C94</f>
        <v>S11</v>
      </c>
      <c r="D47" s="312" t="str">
        <f>'C. Masterfiles'!D94</f>
        <v>Calls to non-geographic numbers</v>
      </c>
      <c r="E47" s="312" t="str">
        <f>'C. Masterfiles'!E94</f>
        <v>Voice Minutes</v>
      </c>
      <c r="F47" s="314">
        <f t="shared" si="0"/>
        <v>6.666666666666667E-06</v>
      </c>
      <c r="G47" s="315">
        <f t="shared" si="1"/>
        <v>12.97922470909091</v>
      </c>
      <c r="H47" s="315">
        <f t="shared" si="1"/>
        <v>11.989531643822843</v>
      </c>
      <c r="I47" s="315">
        <f t="shared" si="1"/>
        <v>9.096126166899769</v>
      </c>
      <c r="J47" s="315">
        <f t="shared" si="1"/>
        <v>9.486666366456877</v>
      </c>
      <c r="K47" s="315">
        <f t="shared" si="1"/>
        <v>10.065852313040558</v>
      </c>
    </row>
    <row r="48" spans="3:11" ht="12.75">
      <c r="C48" s="312" t="str">
        <f>'C. Masterfiles'!C95</f>
        <v>S12</v>
      </c>
      <c r="D48" s="312" t="str">
        <f>'C. Masterfiles'!D95</f>
        <v>Internet dial-up calls</v>
      </c>
      <c r="E48" s="312" t="str">
        <f>'C. Masterfiles'!E95</f>
        <v>Voice Minutes</v>
      </c>
      <c r="F48" s="314">
        <f t="shared" si="0"/>
        <v>6.666666666666667E-06</v>
      </c>
      <c r="G48" s="315">
        <f t="shared" si="1"/>
        <v>2722.765146666667</v>
      </c>
      <c r="H48" s="315">
        <f t="shared" si="1"/>
        <v>1638.8676237037034</v>
      </c>
      <c r="I48" s="315">
        <f t="shared" si="1"/>
        <v>538.598802962963</v>
      </c>
      <c r="J48" s="315">
        <f t="shared" si="1"/>
        <v>252.02781180740737</v>
      </c>
      <c r="K48" s="315">
        <f t="shared" si="1"/>
        <v>115.40998798222222</v>
      </c>
    </row>
    <row r="49" spans="3:11" ht="12.75">
      <c r="C49" s="312" t="str">
        <f>'C. Masterfiles'!C96</f>
        <v>End</v>
      </c>
      <c r="D49" s="312" t="str">
        <f>'C. Masterfiles'!D96</f>
        <v>End of list</v>
      </c>
      <c r="E49" s="312" t="str">
        <f>'C. Masterfiles'!E96</f>
        <v>End</v>
      </c>
      <c r="F49" s="183"/>
      <c r="G49" s="183"/>
      <c r="H49" s="156"/>
      <c r="I49" s="156"/>
      <c r="J49" s="156"/>
      <c r="K49" s="183"/>
    </row>
    <row r="51" spans="3:11" ht="12.75">
      <c r="C51" s="116"/>
      <c r="D51" s="116"/>
      <c r="E51" s="116"/>
      <c r="F51" s="116"/>
      <c r="G51" s="121"/>
      <c r="H51" s="121"/>
      <c r="I51" s="121"/>
      <c r="J51" s="121"/>
      <c r="K51" s="121"/>
    </row>
    <row r="52" spans="3:11" ht="12.75">
      <c r="C52" s="231"/>
      <c r="D52" s="312" t="s">
        <v>692</v>
      </c>
      <c r="E52" s="10"/>
      <c r="F52" s="10"/>
      <c r="G52" s="316">
        <f>SUM(G37:G49)</f>
        <v>31833.388009954448</v>
      </c>
      <c r="H52" s="316">
        <f>SUM(H37:H49)</f>
        <v>29078.68946490913</v>
      </c>
      <c r="I52" s="316">
        <f>SUM(I37:I49)</f>
        <v>27309.105562472858</v>
      </c>
      <c r="J52" s="316">
        <f>SUM(J37:J49)</f>
        <v>26182.01955275937</v>
      </c>
      <c r="K52" s="316">
        <f>SUM(K37:K49)</f>
        <v>24766.58498070872</v>
      </c>
    </row>
    <row r="53" spans="3:13" ht="12.75">
      <c r="C53" s="231"/>
      <c r="D53" s="312" t="s">
        <v>724</v>
      </c>
      <c r="E53" s="10"/>
      <c r="F53" s="10"/>
      <c r="G53" s="316"/>
      <c r="H53" s="318">
        <f>H52/G52-1</f>
        <v>-0.08653488419718036</v>
      </c>
      <c r="I53" s="318">
        <f>I52/H52-1</f>
        <v>-0.06085500877100147</v>
      </c>
      <c r="J53" s="318">
        <f>J52/I52-1</f>
        <v>-0.041271436266381634</v>
      </c>
      <c r="K53" s="318">
        <f>K52/J52-1</f>
        <v>-0.05406132132773056</v>
      </c>
      <c r="L53" s="468">
        <f>IF(J53=0,0,K53*K53/J53)</f>
        <v>-0.07081475054166728</v>
      </c>
      <c r="M53" s="130"/>
    </row>
    <row r="54" spans="3:13" ht="12.75">
      <c r="C54" s="231"/>
      <c r="D54" s="312" t="s">
        <v>697</v>
      </c>
      <c r="E54" s="10"/>
      <c r="F54" s="10"/>
      <c r="G54" s="317">
        <f>'1.Subscribers'!G200</f>
        <v>1056850</v>
      </c>
      <c r="H54" s="317">
        <f>'1.Subscribers'!H200</f>
        <v>1088162</v>
      </c>
      <c r="I54" s="317">
        <f>'1.Subscribers'!I200</f>
        <v>1110298</v>
      </c>
      <c r="J54" s="317">
        <f>'1.Subscribers'!J200</f>
        <v>1133586.333549325</v>
      </c>
      <c r="K54" s="317">
        <f>'1.Subscribers'!K200</f>
        <v>1158024.2804381044</v>
      </c>
      <c r="L54" s="468"/>
      <c r="M54" s="130"/>
    </row>
    <row r="55" spans="3:13" ht="12.75">
      <c r="C55" s="231"/>
      <c r="D55" s="312" t="s">
        <v>725</v>
      </c>
      <c r="E55" s="10"/>
      <c r="F55" s="10"/>
      <c r="G55" s="316"/>
      <c r="H55" s="320">
        <f>H54/G54-1</f>
        <v>0.029627667124000556</v>
      </c>
      <c r="I55" s="320">
        <f>I54/H54-1</f>
        <v>0.02034255928804729</v>
      </c>
      <c r="J55" s="320">
        <f>J54/I54-1</f>
        <v>0.02097484958932183</v>
      </c>
      <c r="K55" s="320">
        <f>K54/J54-1</f>
        <v>0.021558081784792682</v>
      </c>
      <c r="L55" s="468">
        <f>IF(J55=0,0,K55*K55/J55)</f>
        <v>0.022157531488397986</v>
      </c>
      <c r="M55" s="130"/>
    </row>
    <row r="58" spans="1:28" ht="15.75">
      <c r="A58" s="28"/>
      <c r="B58" s="267">
        <f>B34+0.01</f>
        <v>6.029999999999999</v>
      </c>
      <c r="C58" s="29" t="s">
        <v>131</v>
      </c>
      <c r="D58" s="28"/>
      <c r="E58" s="30"/>
      <c r="F58" s="30"/>
      <c r="G58" s="119"/>
      <c r="H58" s="119"/>
      <c r="I58" s="119"/>
      <c r="J58" s="119"/>
      <c r="K58" s="119"/>
      <c r="L58" s="32"/>
      <c r="M58" s="32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60" spans="3:11" ht="12.75">
      <c r="C60" s="90" t="s">
        <v>634</v>
      </c>
      <c r="D60" s="158" t="s">
        <v>689</v>
      </c>
      <c r="E60" s="159" t="s">
        <v>633</v>
      </c>
      <c r="F60" s="92"/>
      <c r="G60" s="120">
        <f>'C. Masterfiles'!E$99</f>
        <v>2008</v>
      </c>
      <c r="H60" s="120">
        <f>'C. Masterfiles'!F$99</f>
        <v>2009</v>
      </c>
      <c r="I60" s="120">
        <f>'C. Masterfiles'!G$99</f>
        <v>2010</v>
      </c>
      <c r="J60" s="120">
        <f>'C. Masterfiles'!H$99</f>
        <v>2011</v>
      </c>
      <c r="K60" s="120">
        <f>'C. Masterfiles'!I$99</f>
        <v>2012</v>
      </c>
    </row>
    <row r="61" spans="3:11" ht="12.75">
      <c r="C61" s="312" t="str">
        <f aca="true" t="shared" si="2" ref="C61:C71">C79</f>
        <v>N01</v>
      </c>
      <c r="D61" s="312" t="str">
        <f>D79</f>
        <v>Remote Access Unit</v>
      </c>
      <c r="E61" s="312" t="str">
        <f>E79</f>
        <v>RAU</v>
      </c>
      <c r="F61" s="10"/>
      <c r="G61" s="315">
        <f>SUMPRODUCT(G$37:G$48,'3.Network Design Parameters'!$E$193:$E$204)</f>
        <v>26125.48319164388</v>
      </c>
      <c r="H61" s="315">
        <f>SUMPRODUCT(H$37:H$48,'3.Network Design Parameters'!$E$193:$E$204)</f>
        <v>24556.508200602708</v>
      </c>
      <c r="I61" s="315">
        <f>SUMPRODUCT(I$37:I$48,'3.Network Design Parameters'!$E$193:$E$204)</f>
        <v>23281.04629945866</v>
      </c>
      <c r="J61" s="315">
        <f>SUMPRODUCT(J$37:J$48,'3.Network Design Parameters'!$E$193:$E$204)</f>
        <v>22473.152358098203</v>
      </c>
      <c r="K61" s="315">
        <f>SUMPRODUCT(K$37:K$48,'3.Network Design Parameters'!$E$193:$E$204)</f>
        <v>21336.81136722547</v>
      </c>
    </row>
    <row r="62" spans="3:11" ht="12.75">
      <c r="C62" s="312" t="str">
        <f t="shared" si="2"/>
        <v>N02</v>
      </c>
      <c r="D62" s="312" t="str">
        <f aca="true" t="shared" si="3" ref="D62:E71">D80</f>
        <v>Local Switch</v>
      </c>
      <c r="E62" s="312" t="str">
        <f t="shared" si="3"/>
        <v>LS</v>
      </c>
      <c r="F62" s="10"/>
      <c r="G62" s="315">
        <f>SUMPRODUCT(G$37:G$48,'3.Network Design Parameters'!$F$193:$F$204)</f>
        <v>26125.48319164388</v>
      </c>
      <c r="H62" s="315">
        <f>SUMPRODUCT(H$37:H$48,'3.Network Design Parameters'!$F$193:$F$204)</f>
        <v>24556.508200602708</v>
      </c>
      <c r="I62" s="315">
        <f>SUMPRODUCT(I$37:I$48,'3.Network Design Parameters'!$F$193:$F$204)</f>
        <v>23281.04629945866</v>
      </c>
      <c r="J62" s="315">
        <f>SUMPRODUCT(J$37:J$48,'3.Network Design Parameters'!$F$193:$F$204)</f>
        <v>22473.152358098203</v>
      </c>
      <c r="K62" s="315">
        <f>SUMPRODUCT(K$37:K$48,'3.Network Design Parameters'!$F$193:$F$204)</f>
        <v>21336.81136722547</v>
      </c>
    </row>
    <row r="63" spans="3:11" ht="12.75">
      <c r="C63" s="312" t="str">
        <f t="shared" si="2"/>
        <v>N03</v>
      </c>
      <c r="D63" s="312" t="str">
        <f t="shared" si="3"/>
        <v>Tandem Switch</v>
      </c>
      <c r="E63" s="312" t="str">
        <f t="shared" si="3"/>
        <v>TS</v>
      </c>
      <c r="F63" s="10"/>
      <c r="G63" s="315">
        <f>SUMPRODUCT(G$37:G$48,'3.Network Design Parameters'!$G$193:$G$204)</f>
        <v>44098.383787732215</v>
      </c>
      <c r="H63" s="315">
        <f>SUMPRODUCT(H$37:H$48,'3.Network Design Parameters'!$G$193:$G$204)</f>
        <v>40833.63476120541</v>
      </c>
      <c r="I63" s="315">
        <f>SUMPRODUCT(I$37:I$48,'3.Network Design Parameters'!$G$193:$G$204)</f>
        <v>38661.21454025066</v>
      </c>
      <c r="J63" s="315">
        <f>SUMPRODUCT(J$37:J$48,'3.Network Design Parameters'!$G$193:$G$204)</f>
        <v>37164.89142757419</v>
      </c>
      <c r="K63" s="315">
        <f>SUMPRODUCT(K$37:K$48,'3.Network Design Parameters'!$G$193:$G$204)</f>
        <v>35174.17882959762</v>
      </c>
    </row>
    <row r="64" spans="3:11" ht="12.75">
      <c r="C64" s="312" t="str">
        <f t="shared" si="2"/>
        <v>N04</v>
      </c>
      <c r="D64" s="312" t="str">
        <f t="shared" si="3"/>
        <v>International switching centre</v>
      </c>
      <c r="E64" s="312" t="str">
        <f t="shared" si="3"/>
        <v>ISC</v>
      </c>
      <c r="F64" s="10"/>
      <c r="G64" s="315">
        <f>SUMPRODUCT(G$37:G$48,'3.Network Design Parameters'!$H$193:$H$204)</f>
        <v>15956.701473763967</v>
      </c>
      <c r="H64" s="315">
        <f>SUMPRODUCT(H$37:H$48,'3.Network Design Parameters'!$H$193:$H$204)</f>
        <v>13333.587854200134</v>
      </c>
      <c r="I64" s="315">
        <f>SUMPRODUCT(I$37:I$48,'3.Network Design Parameters'!$H$193:$H$204)</f>
        <v>12100.932577516258</v>
      </c>
      <c r="J64" s="315">
        <f>SUMPRODUCT(J$37:J$48,'3.Network Design Parameters'!$H$193:$H$204)</f>
        <v>11221.575534445621</v>
      </c>
      <c r="K64" s="315">
        <f>SUMPRODUCT(K$37:K$48,'3.Network Design Parameters'!$H$193:$H$204)</f>
        <v>10333.936905485358</v>
      </c>
    </row>
    <row r="65" spans="3:11" ht="12.75">
      <c r="C65" s="312" t="str">
        <f t="shared" si="2"/>
        <v>N05</v>
      </c>
      <c r="D65" s="312" t="str">
        <f t="shared" si="3"/>
        <v>Interconnect gateway</v>
      </c>
      <c r="E65" s="312" t="str">
        <f t="shared" si="3"/>
        <v>IGW</v>
      </c>
      <c r="F65" s="10"/>
      <c r="G65" s="315">
        <f>SUMPRODUCT(G$37:G$48,'3.Network Design Parameters'!$I$193:$I$204)</f>
        <v>4840.641603473923</v>
      </c>
      <c r="H65" s="315">
        <f>SUMPRODUCT(H$37:H$48,'3.Network Design Parameters'!$I$193:$I$204)</f>
        <v>4078.980418122449</v>
      </c>
      <c r="I65" s="315">
        <f>SUMPRODUCT(I$37:I$48,'3.Network Design Parameters'!$I$193:$I$204)</f>
        <v>4389.354891184279</v>
      </c>
      <c r="J65" s="315">
        <f>SUMPRODUCT(J$37:J$48,'3.Network Design Parameters'!$I$193:$I$204)</f>
        <v>4304.145291309192</v>
      </c>
      <c r="K65" s="315">
        <f>SUMPRODUCT(K$37:K$48,'3.Network Design Parameters'!$I$193:$I$204)</f>
        <v>4168.784434785523</v>
      </c>
    </row>
    <row r="66" spans="3:11" ht="12.75">
      <c r="C66" s="312" t="str">
        <f t="shared" si="2"/>
        <v>N06</v>
      </c>
      <c r="D66" s="312" t="str">
        <f t="shared" si="3"/>
        <v>Intelligent network </v>
      </c>
      <c r="E66" s="312" t="str">
        <f t="shared" si="3"/>
        <v>IN</v>
      </c>
      <c r="F66" s="10"/>
      <c r="G66" s="315">
        <f>SUMPRODUCT(G$37:G$48,'3.Network Design Parameters'!$J$193:$J$204)</f>
        <v>34.795036480519485</v>
      </c>
      <c r="H66" s="315">
        <f>SUMPRODUCT(H$37:H$48,'3.Network Design Parameters'!$J$193:$J$204)</f>
        <v>33.58346178667999</v>
      </c>
      <c r="I66" s="315">
        <f>SUMPRODUCT(I$37:I$48,'3.Network Design Parameters'!$J$193:$J$204)</f>
        <v>31.33857188118548</v>
      </c>
      <c r="J66" s="315">
        <f>SUMPRODUCT(J$37:J$48,'3.Network Design Parameters'!$J$193:$J$204)</f>
        <v>31.30602208074259</v>
      </c>
      <c r="K66" s="315">
        <f>SUMPRODUCT(K$37:K$48,'3.Network Design Parameters'!$J$193:$J$204)</f>
        <v>31.01243379875484</v>
      </c>
    </row>
    <row r="67" spans="3:11" ht="12.75">
      <c r="C67" s="312" t="str">
        <f t="shared" si="2"/>
        <v>N07</v>
      </c>
      <c r="D67" s="312" t="str">
        <f t="shared" si="3"/>
        <v>Retail Billing System</v>
      </c>
      <c r="E67" s="312" t="str">
        <f t="shared" si="3"/>
        <v>RBIL</v>
      </c>
      <c r="F67" s="10"/>
      <c r="G67" s="315">
        <f>SUMPRODUCT(G$37:G$48,'3.Network Design Parameters'!$K$193:$K$204)</f>
        <v>26622.051214609775</v>
      </c>
      <c r="H67" s="315">
        <f>SUMPRODUCT(H$37:H$48,'3.Network Design Parameters'!$K$193:$K$204)</f>
        <v>24387.976302489627</v>
      </c>
      <c r="I67" s="315">
        <f>SUMPRODUCT(I$37:I$48,'3.Network Design Parameters'!$K$193:$K$204)</f>
        <v>22459.460429438244</v>
      </c>
      <c r="J67" s="315">
        <f>SUMPRODUCT(J$37:J$48,'3.Network Design Parameters'!$K$193:$K$204)</f>
        <v>21433.032754136915</v>
      </c>
      <c r="K67" s="315">
        <f>SUMPRODUCT(K$37:K$48,'3.Network Design Parameters'!$K$193:$K$204)</f>
        <v>20197.98299395585</v>
      </c>
    </row>
    <row r="68" spans="3:11" ht="12.75">
      <c r="C68" s="312" t="str">
        <f t="shared" si="2"/>
        <v>N08</v>
      </c>
      <c r="D68" s="312" t="str">
        <f t="shared" si="3"/>
        <v>Interconnection Billing System</v>
      </c>
      <c r="E68" s="312" t="str">
        <f t="shared" si="3"/>
        <v>IBIL</v>
      </c>
      <c r="F68" s="10"/>
      <c r="G68" s="315">
        <f>SUMPRODUCT(G$37:G$48,'3.Network Design Parameters'!$L$193:$L$204)</f>
        <v>5211.336795344671</v>
      </c>
      <c r="H68" s="315">
        <f>SUMPRODUCT(H$37:H$48,'3.Network Design Parameters'!$L$193:$L$204)</f>
        <v>4690.713162419501</v>
      </c>
      <c r="I68" s="315">
        <f>SUMPRODUCT(I$37:I$48,'3.Network Design Parameters'!$L$193:$L$204)</f>
        <v>4849.645133034619</v>
      </c>
      <c r="J68" s="315">
        <f>SUMPRODUCT(J$37:J$48,'3.Network Design Parameters'!$L$193:$L$204)</f>
        <v>4748.986798622456</v>
      </c>
      <c r="K68" s="315">
        <f>SUMPRODUCT(K$37:K$48,'3.Network Design Parameters'!$L$193:$L$204)</f>
        <v>4568.60198675287</v>
      </c>
    </row>
    <row r="69" spans="3:11" ht="12.75">
      <c r="C69" s="312" t="str">
        <f t="shared" si="2"/>
        <v>N09</v>
      </c>
      <c r="D69" s="312" t="str">
        <f t="shared" si="3"/>
        <v>Network management system</v>
      </c>
      <c r="E69" s="312" t="str">
        <f t="shared" si="3"/>
        <v>NMS</v>
      </c>
      <c r="F69" s="10"/>
      <c r="G69" s="315">
        <f>SUMPRODUCT(G$37:G$48,'3.Network Design Parameters'!$M$193:$M$204)</f>
        <v>31833.388009954448</v>
      </c>
      <c r="H69" s="315">
        <f>SUMPRODUCT(H$37:H$48,'3.Network Design Parameters'!$M$193:$M$204)</f>
        <v>29078.68946490913</v>
      </c>
      <c r="I69" s="315">
        <f>SUMPRODUCT(I$37:I$48,'3.Network Design Parameters'!$M$193:$M$204)</f>
        <v>27309.105562472858</v>
      </c>
      <c r="J69" s="315">
        <f>SUMPRODUCT(J$37:J$48,'3.Network Design Parameters'!$M$193:$M$204)</f>
        <v>26182.01955275937</v>
      </c>
      <c r="K69" s="315">
        <f>SUMPRODUCT(K$37:K$48,'3.Network Design Parameters'!$M$193:$M$204)</f>
        <v>24766.58498070872</v>
      </c>
    </row>
    <row r="70" spans="3:11" ht="12.75">
      <c r="C70" s="312" t="str">
        <f t="shared" si="2"/>
        <v>N10</v>
      </c>
      <c r="D70" s="312" t="str">
        <f t="shared" si="3"/>
        <v>Operational support system</v>
      </c>
      <c r="E70" s="312" t="str">
        <f t="shared" si="3"/>
        <v>OSS</v>
      </c>
      <c r="F70" s="10"/>
      <c r="G70" s="315">
        <f>SUMPRODUCT(G$37:G$48,'3.Network Design Parameters'!$N$193:$N$204)</f>
        <v>31833.388009954448</v>
      </c>
      <c r="H70" s="315">
        <f>SUMPRODUCT(H$37:H$48,'3.Network Design Parameters'!$N$193:$N$204)</f>
        <v>29078.68946490913</v>
      </c>
      <c r="I70" s="315">
        <f>SUMPRODUCT(I$37:I$48,'3.Network Design Parameters'!$N$193:$N$204)</f>
        <v>27309.105562472858</v>
      </c>
      <c r="J70" s="315">
        <f>SUMPRODUCT(J$37:J$48,'3.Network Design Parameters'!$N$193:$N$204)</f>
        <v>26182.01955275937</v>
      </c>
      <c r="K70" s="315">
        <f>SUMPRODUCT(K$37:K$48,'3.Network Design Parameters'!$N$193:$N$204)</f>
        <v>24766.58498070872</v>
      </c>
    </row>
    <row r="71" spans="3:11" ht="12.75">
      <c r="C71" s="312" t="str">
        <f t="shared" si="2"/>
        <v>End</v>
      </c>
      <c r="D71" s="312" t="str">
        <f t="shared" si="3"/>
        <v>End of list</v>
      </c>
      <c r="E71" s="312" t="str">
        <f t="shared" si="3"/>
        <v>End</v>
      </c>
      <c r="F71" s="10"/>
      <c r="G71" s="183"/>
      <c r="H71" s="156"/>
      <c r="I71" s="156"/>
      <c r="J71" s="156"/>
      <c r="K71" s="183"/>
    </row>
    <row r="75" spans="2:28" ht="15.75">
      <c r="B75" s="267">
        <f>B58+0.01</f>
        <v>6.039999999999999</v>
      </c>
      <c r="C75" s="29" t="s">
        <v>638</v>
      </c>
      <c r="D75" s="28"/>
      <c r="E75" s="30"/>
      <c r="F75" s="30"/>
      <c r="G75" s="119"/>
      <c r="H75" s="119"/>
      <c r="I75" s="119"/>
      <c r="J75" s="119"/>
      <c r="K75" s="119"/>
      <c r="L75" s="32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ht="15.75">
      <c r="B76" s="267"/>
      <c r="C76" s="29"/>
      <c r="D76" s="28"/>
      <c r="E76" s="30"/>
      <c r="F76" s="30"/>
      <c r="G76" s="119"/>
      <c r="H76" s="119"/>
      <c r="I76" s="119"/>
      <c r="J76" s="119"/>
      <c r="K76" s="119"/>
      <c r="L76" s="32"/>
      <c r="R76" s="28"/>
      <c r="X76" s="28"/>
      <c r="Y76" s="28"/>
      <c r="Z76" s="28"/>
      <c r="AA76" s="28"/>
      <c r="AB76" s="28"/>
    </row>
    <row r="77" spans="3:23" ht="15">
      <c r="C77" s="56"/>
      <c r="D77" s="56"/>
      <c r="E77" s="56"/>
      <c r="F77" s="56"/>
      <c r="G77" s="127"/>
      <c r="H77" s="128"/>
      <c r="I77" s="128" t="s">
        <v>705</v>
      </c>
      <c r="J77" s="128"/>
      <c r="K77" s="129"/>
      <c r="M77" s="127"/>
      <c r="N77" s="128"/>
      <c r="O77" s="128" t="s">
        <v>706</v>
      </c>
      <c r="P77" s="128"/>
      <c r="Q77" s="129"/>
      <c r="S77" s="28"/>
      <c r="T77" s="28"/>
      <c r="U77" s="28"/>
      <c r="V77" s="28"/>
      <c r="W77" s="28"/>
    </row>
    <row r="78" spans="1:23" s="126" customFormat="1" ht="12.75">
      <c r="A78" s="1"/>
      <c r="B78" s="240"/>
      <c r="C78" s="90"/>
      <c r="D78" s="158" t="s">
        <v>689</v>
      </c>
      <c r="E78" s="159" t="s">
        <v>633</v>
      </c>
      <c r="F78" s="159" t="s">
        <v>132</v>
      </c>
      <c r="G78" s="92">
        <f>'C. Masterfiles'!E$99</f>
        <v>2008</v>
      </c>
      <c r="H78" s="92">
        <f>'C. Masterfiles'!F$99</f>
        <v>2009</v>
      </c>
      <c r="I78" s="92">
        <f>'C. Masterfiles'!G$99</f>
        <v>2010</v>
      </c>
      <c r="J78" s="92">
        <f>'C. Masterfiles'!H$99</f>
        <v>2011</v>
      </c>
      <c r="K78" s="92">
        <f>'C. Masterfiles'!I$99</f>
        <v>2012</v>
      </c>
      <c r="M78" s="92">
        <f>'C. Masterfiles'!E$99</f>
        <v>2008</v>
      </c>
      <c r="N78" s="92">
        <f>'C. Masterfiles'!F$99</f>
        <v>2009</v>
      </c>
      <c r="O78" s="92">
        <f>'C. Masterfiles'!G$99</f>
        <v>2010</v>
      </c>
      <c r="P78" s="92">
        <f>'C. Masterfiles'!H$99</f>
        <v>2011</v>
      </c>
      <c r="Q78" s="92">
        <f>'C. Masterfiles'!I$99</f>
        <v>2012</v>
      </c>
      <c r="S78" s="1"/>
      <c r="T78" s="1"/>
      <c r="U78" s="1"/>
      <c r="V78" s="1"/>
      <c r="W78" s="1"/>
    </row>
    <row r="79" spans="3:24" ht="15">
      <c r="C79" s="312" t="str">
        <f>'C. Masterfiles'!C53</f>
        <v>N01</v>
      </c>
      <c r="D79" s="312" t="str">
        <f>'C. Masterfiles'!D53</f>
        <v>Remote Access Unit</v>
      </c>
      <c r="E79" s="312" t="str">
        <f>'C. Masterfiles'!E53</f>
        <v>RAU</v>
      </c>
      <c r="F79" s="312" t="str">
        <f>'C. Masterfiles'!F53</f>
        <v>Subscribers</v>
      </c>
      <c r="G79" s="319">
        <f>(1+M79*'3.Network Design Parameters'!$J50/12)/'3.Network Design Parameters'!$K50</f>
        <v>1.2685172919525003</v>
      </c>
      <c r="H79" s="319">
        <f>(1+N79*'3.Network Design Parameters'!$J50/12)/'3.Network Design Parameters'!$K50</f>
        <v>1.2627140995550294</v>
      </c>
      <c r="I79" s="319">
        <f>(1+O79*'3.Network Design Parameters'!$J50/12)/'3.Network Design Parameters'!$K50</f>
        <v>1.263109280993326</v>
      </c>
      <c r="J79" s="319">
        <f>(1+P79*'3.Network Design Parameters'!$J50/12)/'3.Network Design Parameters'!$K50</f>
        <v>1.2634738011154956</v>
      </c>
      <c r="K79" s="319">
        <f>(1+Q79*'3.Network Design Parameters'!$J50/12)/'3.Network Design Parameters'!$K50</f>
        <v>1.2638484571802489</v>
      </c>
      <c r="M79" s="319">
        <f aca="true" t="shared" si="4" ref="M79:M88">IF($F79="BHE",H$53,IF($F79="Subscribers",H$55,0))</f>
        <v>0.029627667124000556</v>
      </c>
      <c r="N79" s="319">
        <f aca="true" t="shared" si="5" ref="N79:N88">IF($F79="BHE",I$53,IF($F79="Subscribers",I$55,0))</f>
        <v>0.02034255928804729</v>
      </c>
      <c r="O79" s="319">
        <f aca="true" t="shared" si="6" ref="O79:O88">IF($F79="BHE",J$53,IF($F79="Subscribers",J$55,0))</f>
        <v>0.02097484958932183</v>
      </c>
      <c r="P79" s="319">
        <f aca="true" t="shared" si="7" ref="P79:P88">IF($F79="BHE",K$53,IF($F79="Subscribers",K$55,0))</f>
        <v>0.021558081784792682</v>
      </c>
      <c r="Q79" s="319">
        <f aca="true" t="shared" si="8" ref="Q79:Q88">IF($F79="BHE",L$53,IF($F79="Subscribers",L$55,0))</f>
        <v>0.022157531488397986</v>
      </c>
      <c r="S79" s="28"/>
      <c r="T79" s="28"/>
      <c r="U79" s="28"/>
      <c r="V79" s="28"/>
      <c r="W79" s="28"/>
      <c r="X79" s="126"/>
    </row>
    <row r="80" spans="3:24" ht="12.75">
      <c r="C80" s="312" t="str">
        <f>'C. Masterfiles'!C54</f>
        <v>N02</v>
      </c>
      <c r="D80" s="312" t="str">
        <f>'C. Masterfiles'!D54</f>
        <v>Local Switch</v>
      </c>
      <c r="E80" s="312" t="str">
        <f>'C. Masterfiles'!E54</f>
        <v>LS</v>
      </c>
      <c r="F80" s="312" t="str">
        <f>'C. Masterfiles'!F54</f>
        <v>Subscribers</v>
      </c>
      <c r="G80" s="319">
        <f>(1+M80*'3.Network Design Parameters'!$J51/12)/'3.Network Design Parameters'!$K51</f>
        <v>1.2685172919525003</v>
      </c>
      <c r="H80" s="319">
        <f>(1+N80*'3.Network Design Parameters'!$J51/12)/'3.Network Design Parameters'!$K51</f>
        <v>1.2627140995550294</v>
      </c>
      <c r="I80" s="319">
        <f>(1+O80*'3.Network Design Parameters'!$J51/12)/'3.Network Design Parameters'!$K51</f>
        <v>1.263109280993326</v>
      </c>
      <c r="J80" s="319">
        <f>(1+P80*'3.Network Design Parameters'!$J51/12)/'3.Network Design Parameters'!$K51</f>
        <v>1.2634738011154956</v>
      </c>
      <c r="K80" s="319">
        <f>(1+Q80*'3.Network Design Parameters'!$J51/12)/'3.Network Design Parameters'!$K51</f>
        <v>1.2638484571802489</v>
      </c>
      <c r="M80" s="319">
        <f t="shared" si="4"/>
        <v>0.029627667124000556</v>
      </c>
      <c r="N80" s="319">
        <f t="shared" si="5"/>
        <v>0.02034255928804729</v>
      </c>
      <c r="O80" s="319">
        <f t="shared" si="6"/>
        <v>0.02097484958932183</v>
      </c>
      <c r="P80" s="319">
        <f t="shared" si="7"/>
        <v>0.021558081784792682</v>
      </c>
      <c r="Q80" s="319">
        <f t="shared" si="8"/>
        <v>0.022157531488397986</v>
      </c>
      <c r="X80" s="126"/>
    </row>
    <row r="81" spans="3:17" ht="12.75">
      <c r="C81" s="312" t="str">
        <f>'C. Masterfiles'!C55</f>
        <v>N03</v>
      </c>
      <c r="D81" s="312" t="str">
        <f>'C. Masterfiles'!D55</f>
        <v>Tandem Switch</v>
      </c>
      <c r="E81" s="312" t="str">
        <f>'C. Masterfiles'!E55</f>
        <v>TS</v>
      </c>
      <c r="F81" s="312" t="str">
        <f>'C. Masterfiles'!F55</f>
        <v>BHE</v>
      </c>
      <c r="G81" s="319">
        <f>(1+M81*'3.Network Design Parameters'!$J52/12)/'3.Network Design Parameters'!$K52</f>
        <v>1.1959156973767622</v>
      </c>
      <c r="H81" s="319">
        <f>(1+N81*'3.Network Design Parameters'!$J52/12)/'3.Network Design Parameters'!$K52</f>
        <v>1.211965619518124</v>
      </c>
      <c r="I81" s="319">
        <f>(1+O81*'3.Network Design Parameters'!$J52/12)/'3.Network Design Parameters'!$K52</f>
        <v>1.2242053523335112</v>
      </c>
      <c r="J81" s="319">
        <f>(1+P81*'3.Network Design Parameters'!$J52/12)/'3.Network Design Parameters'!$K52</f>
        <v>1.2162116741701683</v>
      </c>
      <c r="K81" s="319">
        <f>(1+Q81*'3.Network Design Parameters'!$J52/12)/'3.Network Design Parameters'!$K52</f>
        <v>1.205740780911458</v>
      </c>
      <c r="M81" s="319">
        <f t="shared" si="4"/>
        <v>-0.08653488419718036</v>
      </c>
      <c r="N81" s="319">
        <f t="shared" si="5"/>
        <v>-0.06085500877100147</v>
      </c>
      <c r="O81" s="319">
        <f t="shared" si="6"/>
        <v>-0.041271436266381634</v>
      </c>
      <c r="P81" s="319">
        <f t="shared" si="7"/>
        <v>-0.05406132132773056</v>
      </c>
      <c r="Q81" s="319">
        <f t="shared" si="8"/>
        <v>-0.07081475054166728</v>
      </c>
    </row>
    <row r="82" spans="3:17" ht="12.75">
      <c r="C82" s="312" t="str">
        <f>'C. Masterfiles'!C56</f>
        <v>N04</v>
      </c>
      <c r="D82" s="312" t="str">
        <f>'C. Masterfiles'!D56</f>
        <v>International switching centre</v>
      </c>
      <c r="E82" s="312" t="str">
        <f>'C. Masterfiles'!E56</f>
        <v>ISC</v>
      </c>
      <c r="F82" s="312" t="str">
        <f>'C. Masterfiles'!F56</f>
        <v>BHE</v>
      </c>
      <c r="G82" s="319">
        <f>(1+M82*'3.Network Design Parameters'!$J53/12)/'3.Network Design Parameters'!$K53</f>
        <v>1.1959156973767622</v>
      </c>
      <c r="H82" s="319">
        <f>(1+N82*'3.Network Design Parameters'!$J53/12)/'3.Network Design Parameters'!$K53</f>
        <v>1.211965619518124</v>
      </c>
      <c r="I82" s="319">
        <f>(1+O82*'3.Network Design Parameters'!$J53/12)/'3.Network Design Parameters'!$K53</f>
        <v>1.2242053523335112</v>
      </c>
      <c r="J82" s="319">
        <f>(1+P82*'3.Network Design Parameters'!$J53/12)/'3.Network Design Parameters'!$K53</f>
        <v>1.2162116741701683</v>
      </c>
      <c r="K82" s="319">
        <f>(1+Q82*'3.Network Design Parameters'!$J53/12)/'3.Network Design Parameters'!$K53</f>
        <v>1.205740780911458</v>
      </c>
      <c r="M82" s="319">
        <f t="shared" si="4"/>
        <v>-0.08653488419718036</v>
      </c>
      <c r="N82" s="319">
        <f t="shared" si="5"/>
        <v>-0.06085500877100147</v>
      </c>
      <c r="O82" s="319">
        <f t="shared" si="6"/>
        <v>-0.041271436266381634</v>
      </c>
      <c r="P82" s="319">
        <f t="shared" si="7"/>
        <v>-0.05406132132773056</v>
      </c>
      <c r="Q82" s="319">
        <f t="shared" si="8"/>
        <v>-0.07081475054166728</v>
      </c>
    </row>
    <row r="83" spans="3:17" ht="12.75">
      <c r="C83" s="312" t="str">
        <f>'C. Masterfiles'!C57</f>
        <v>N05</v>
      </c>
      <c r="D83" s="312" t="str">
        <f>'C. Masterfiles'!D57</f>
        <v>Interconnect gateway</v>
      </c>
      <c r="E83" s="312" t="str">
        <f>'C. Masterfiles'!E57</f>
        <v>IGW</v>
      </c>
      <c r="F83" s="312" t="str">
        <f>'C. Masterfiles'!F57</f>
        <v>Subscribers</v>
      </c>
      <c r="G83" s="319">
        <f>(1+M83*'3.Network Design Parameters'!$J54/12)/'3.Network Design Parameters'!$K54</f>
        <v>1.2777759379287505</v>
      </c>
      <c r="H83" s="319">
        <f>(1+N83*'3.Network Design Parameters'!$J54/12)/'3.Network Design Parameters'!$K54</f>
        <v>1.2690711493325442</v>
      </c>
      <c r="I83" s="319">
        <f>(1+O83*'3.Network Design Parameters'!$J54/12)/'3.Network Design Parameters'!$K54</f>
        <v>1.269663921489989</v>
      </c>
      <c r="J83" s="319">
        <f>(1+P83*'3.Network Design Parameters'!$J54/12)/'3.Network Design Parameters'!$K54</f>
        <v>1.270210701673243</v>
      </c>
      <c r="K83" s="319">
        <f>(1+Q83*'3.Network Design Parameters'!$J54/12)/'3.Network Design Parameters'!$K54</f>
        <v>1.270772685770373</v>
      </c>
      <c r="M83" s="319">
        <f t="shared" si="4"/>
        <v>0.029627667124000556</v>
      </c>
      <c r="N83" s="319">
        <f t="shared" si="5"/>
        <v>0.02034255928804729</v>
      </c>
      <c r="O83" s="319">
        <f t="shared" si="6"/>
        <v>0.02097484958932183</v>
      </c>
      <c r="P83" s="319">
        <f t="shared" si="7"/>
        <v>0.021558081784792682</v>
      </c>
      <c r="Q83" s="319">
        <f t="shared" si="8"/>
        <v>0.022157531488397986</v>
      </c>
    </row>
    <row r="84" spans="3:17" ht="12.75">
      <c r="C84" s="312" t="str">
        <f>'C. Masterfiles'!C58</f>
        <v>N06</v>
      </c>
      <c r="D84" s="312" t="str">
        <f>'C. Masterfiles'!D58</f>
        <v>Intelligent network </v>
      </c>
      <c r="E84" s="312" t="str">
        <f>'C. Masterfiles'!E58</f>
        <v>IN</v>
      </c>
      <c r="F84" s="312" t="str">
        <f>'C. Masterfiles'!F58</f>
        <v>Subscribers</v>
      </c>
      <c r="G84" s="319">
        <f>(1+M84*'3.Network Design Parameters'!$J55/12)/'3.Network Design Parameters'!$K55</f>
        <v>1.2777759379287505</v>
      </c>
      <c r="H84" s="319">
        <f>(1+N84*'3.Network Design Parameters'!$J55/12)/'3.Network Design Parameters'!$K55</f>
        <v>1.2690711493325442</v>
      </c>
      <c r="I84" s="319">
        <f>(1+O84*'3.Network Design Parameters'!$J55/12)/'3.Network Design Parameters'!$K55</f>
        <v>1.269663921489989</v>
      </c>
      <c r="J84" s="319">
        <f>(1+P84*'3.Network Design Parameters'!$J55/12)/'3.Network Design Parameters'!$K55</f>
        <v>1.270210701673243</v>
      </c>
      <c r="K84" s="319">
        <f>(1+Q84*'3.Network Design Parameters'!$J55/12)/'3.Network Design Parameters'!$K55</f>
        <v>1.270772685770373</v>
      </c>
      <c r="M84" s="319">
        <f t="shared" si="4"/>
        <v>0.029627667124000556</v>
      </c>
      <c r="N84" s="319">
        <f t="shared" si="5"/>
        <v>0.02034255928804729</v>
      </c>
      <c r="O84" s="319">
        <f t="shared" si="6"/>
        <v>0.02097484958932183</v>
      </c>
      <c r="P84" s="319">
        <f t="shared" si="7"/>
        <v>0.021558081784792682</v>
      </c>
      <c r="Q84" s="319">
        <f t="shared" si="8"/>
        <v>0.022157531488397986</v>
      </c>
    </row>
    <row r="85" spans="3:17" ht="12.75">
      <c r="C85" s="312" t="str">
        <f>'C. Masterfiles'!C59</f>
        <v>N07</v>
      </c>
      <c r="D85" s="312" t="str">
        <f>'C. Masterfiles'!D59</f>
        <v>Retail Billing System</v>
      </c>
      <c r="E85" s="312" t="str">
        <f>'C. Masterfiles'!E59</f>
        <v>RBIL</v>
      </c>
      <c r="F85" s="312" t="str">
        <f>'C. Masterfiles'!F59</f>
        <v>Subscribers</v>
      </c>
      <c r="G85" s="319">
        <f>(1+M85*'3.Network Design Parameters'!$J56/12)/'3.Network Design Parameters'!$K56</f>
        <v>1.2777759379287505</v>
      </c>
      <c r="H85" s="319">
        <f>(1+N85*'3.Network Design Parameters'!$J56/12)/'3.Network Design Parameters'!$K56</f>
        <v>1.2690711493325442</v>
      </c>
      <c r="I85" s="319">
        <f>(1+O85*'3.Network Design Parameters'!$J56/12)/'3.Network Design Parameters'!$K56</f>
        <v>1.269663921489989</v>
      </c>
      <c r="J85" s="319">
        <f>(1+P85*'3.Network Design Parameters'!$J56/12)/'3.Network Design Parameters'!$K56</f>
        <v>1.270210701673243</v>
      </c>
      <c r="K85" s="319">
        <f>(1+Q85*'3.Network Design Parameters'!$J56/12)/'3.Network Design Parameters'!$K56</f>
        <v>1.270772685770373</v>
      </c>
      <c r="M85" s="319">
        <f t="shared" si="4"/>
        <v>0.029627667124000556</v>
      </c>
      <c r="N85" s="319">
        <f t="shared" si="5"/>
        <v>0.02034255928804729</v>
      </c>
      <c r="O85" s="319">
        <f t="shared" si="6"/>
        <v>0.02097484958932183</v>
      </c>
      <c r="P85" s="319">
        <f t="shared" si="7"/>
        <v>0.021558081784792682</v>
      </c>
      <c r="Q85" s="319">
        <f t="shared" si="8"/>
        <v>0.022157531488397986</v>
      </c>
    </row>
    <row r="86" spans="3:17" ht="12.75">
      <c r="C86" s="312" t="str">
        <f>'C. Masterfiles'!C60</f>
        <v>N08</v>
      </c>
      <c r="D86" s="312" t="str">
        <f>'C. Masterfiles'!D60</f>
        <v>Interconnection Billing System</v>
      </c>
      <c r="E86" s="312" t="str">
        <f>'C. Masterfiles'!E60</f>
        <v>IBIL</v>
      </c>
      <c r="F86" s="312" t="str">
        <f>'C. Masterfiles'!F60</f>
        <v>Subscribers</v>
      </c>
      <c r="G86" s="319">
        <f>(1+M86*'3.Network Design Parameters'!$J57/12)/'3.Network Design Parameters'!$K57</f>
        <v>1.2777759379287505</v>
      </c>
      <c r="H86" s="319">
        <f>(1+N86*'3.Network Design Parameters'!$J57/12)/'3.Network Design Parameters'!$K57</f>
        <v>1.2690711493325442</v>
      </c>
      <c r="I86" s="319">
        <f>(1+O86*'3.Network Design Parameters'!$J57/12)/'3.Network Design Parameters'!$K57</f>
        <v>1.269663921489989</v>
      </c>
      <c r="J86" s="319">
        <f>(1+P86*'3.Network Design Parameters'!$J57/12)/'3.Network Design Parameters'!$K57</f>
        <v>1.270210701673243</v>
      </c>
      <c r="K86" s="319">
        <f>(1+Q86*'3.Network Design Parameters'!$J57/12)/'3.Network Design Parameters'!$K57</f>
        <v>1.270772685770373</v>
      </c>
      <c r="M86" s="319">
        <f t="shared" si="4"/>
        <v>0.029627667124000556</v>
      </c>
      <c r="N86" s="319">
        <f t="shared" si="5"/>
        <v>0.02034255928804729</v>
      </c>
      <c r="O86" s="319">
        <f t="shared" si="6"/>
        <v>0.02097484958932183</v>
      </c>
      <c r="P86" s="319">
        <f t="shared" si="7"/>
        <v>0.021558081784792682</v>
      </c>
      <c r="Q86" s="319">
        <f t="shared" si="8"/>
        <v>0.022157531488397986</v>
      </c>
    </row>
    <row r="87" spans="3:17" ht="12.75">
      <c r="C87" s="312" t="str">
        <f>'C. Masterfiles'!C61</f>
        <v>N09</v>
      </c>
      <c r="D87" s="312" t="str">
        <f>'C. Masterfiles'!D61</f>
        <v>Network management system</v>
      </c>
      <c r="E87" s="312" t="str">
        <f>'C. Masterfiles'!E61</f>
        <v>NMS</v>
      </c>
      <c r="F87" s="312" t="str">
        <f>'C. Masterfiles'!F61</f>
        <v>Subscribers</v>
      </c>
      <c r="G87" s="319">
        <f>(1+M87*'3.Network Design Parameters'!$J58/12)/'3.Network Design Parameters'!$K58</f>
        <v>1.2777759379287505</v>
      </c>
      <c r="H87" s="319">
        <f>(1+N87*'3.Network Design Parameters'!$J58/12)/'3.Network Design Parameters'!$K58</f>
        <v>1.2690711493325442</v>
      </c>
      <c r="I87" s="319">
        <f>(1+O87*'3.Network Design Parameters'!$J58/12)/'3.Network Design Parameters'!$K58</f>
        <v>1.269663921489989</v>
      </c>
      <c r="J87" s="319">
        <f>(1+P87*'3.Network Design Parameters'!$J58/12)/'3.Network Design Parameters'!$K58</f>
        <v>1.270210701673243</v>
      </c>
      <c r="K87" s="319">
        <f>(1+Q87*'3.Network Design Parameters'!$J58/12)/'3.Network Design Parameters'!$K58</f>
        <v>1.270772685770373</v>
      </c>
      <c r="M87" s="319">
        <f t="shared" si="4"/>
        <v>0.029627667124000556</v>
      </c>
      <c r="N87" s="319">
        <f t="shared" si="5"/>
        <v>0.02034255928804729</v>
      </c>
      <c r="O87" s="319">
        <f t="shared" si="6"/>
        <v>0.02097484958932183</v>
      </c>
      <c r="P87" s="319">
        <f t="shared" si="7"/>
        <v>0.021558081784792682</v>
      </c>
      <c r="Q87" s="319">
        <f t="shared" si="8"/>
        <v>0.022157531488397986</v>
      </c>
    </row>
    <row r="88" spans="3:17" ht="12.75">
      <c r="C88" s="312" t="str">
        <f>'C. Masterfiles'!C62</f>
        <v>N10</v>
      </c>
      <c r="D88" s="312" t="str">
        <f>'C. Masterfiles'!D62</f>
        <v>Operational support system</v>
      </c>
      <c r="E88" s="312" t="str">
        <f>'C. Masterfiles'!E62</f>
        <v>OSS</v>
      </c>
      <c r="F88" s="312" t="str">
        <f>'C. Masterfiles'!F62</f>
        <v>Subscribers</v>
      </c>
      <c r="G88" s="319">
        <f>(1+M88*'3.Network Design Parameters'!$J59/12)/'3.Network Design Parameters'!$K59</f>
        <v>1.2777759379287505</v>
      </c>
      <c r="H88" s="319">
        <f>(1+N88*'3.Network Design Parameters'!$J59/12)/'3.Network Design Parameters'!$K59</f>
        <v>1.2690711493325442</v>
      </c>
      <c r="I88" s="319">
        <f>(1+O88*'3.Network Design Parameters'!$J59/12)/'3.Network Design Parameters'!$K59</f>
        <v>1.269663921489989</v>
      </c>
      <c r="J88" s="319">
        <f>(1+P88*'3.Network Design Parameters'!$J59/12)/'3.Network Design Parameters'!$K59</f>
        <v>1.270210701673243</v>
      </c>
      <c r="K88" s="319">
        <f>(1+Q88*'3.Network Design Parameters'!$J59/12)/'3.Network Design Parameters'!$K59</f>
        <v>1.270772685770373</v>
      </c>
      <c r="M88" s="319">
        <f t="shared" si="4"/>
        <v>0.029627667124000556</v>
      </c>
      <c r="N88" s="319">
        <f t="shared" si="5"/>
        <v>0.02034255928804729</v>
      </c>
      <c r="O88" s="319">
        <f t="shared" si="6"/>
        <v>0.02097484958932183</v>
      </c>
      <c r="P88" s="319">
        <f t="shared" si="7"/>
        <v>0.021558081784792682</v>
      </c>
      <c r="Q88" s="319">
        <f t="shared" si="8"/>
        <v>0.022157531488397986</v>
      </c>
    </row>
    <row r="89" spans="3:17" ht="12.75">
      <c r="C89" s="90" t="str">
        <f>'C. Masterfiles'!C63</f>
        <v>End</v>
      </c>
      <c r="D89" s="90" t="str">
        <f>'C. Masterfiles'!D63</f>
        <v>End of list</v>
      </c>
      <c r="E89" s="90" t="str">
        <f>'C. Masterfiles'!E63</f>
        <v>End</v>
      </c>
      <c r="F89" s="183"/>
      <c r="G89" s="156"/>
      <c r="H89" s="156"/>
      <c r="I89" s="156"/>
      <c r="J89" s="183"/>
      <c r="K89" s="183"/>
      <c r="M89" s="156"/>
      <c r="N89" s="156"/>
      <c r="O89" s="156"/>
      <c r="P89" s="183"/>
      <c r="Q89" s="183"/>
    </row>
    <row r="92" spans="3:23" ht="15">
      <c r="C92" s="56"/>
      <c r="D92" s="56"/>
      <c r="E92" s="56"/>
      <c r="F92" s="56"/>
      <c r="G92" s="127"/>
      <c r="H92" s="128"/>
      <c r="I92" s="128" t="s">
        <v>705</v>
      </c>
      <c r="J92" s="128"/>
      <c r="K92" s="129"/>
      <c r="M92" s="127"/>
      <c r="N92" s="128"/>
      <c r="O92" s="128" t="s">
        <v>706</v>
      </c>
      <c r="P92" s="128"/>
      <c r="Q92" s="129"/>
      <c r="S92" s="28"/>
      <c r="T92" s="28"/>
      <c r="U92" s="28"/>
      <c r="V92" s="28"/>
      <c r="W92" s="28"/>
    </row>
    <row r="93" spans="1:23" s="126" customFormat="1" ht="24">
      <c r="A93" s="1"/>
      <c r="B93" s="240"/>
      <c r="C93" s="90"/>
      <c r="D93" s="703" t="s">
        <v>694</v>
      </c>
      <c r="E93" s="663"/>
      <c r="F93" s="159" t="s">
        <v>700</v>
      </c>
      <c r="G93" s="92">
        <f>'C. Masterfiles'!E$99</f>
        <v>2008</v>
      </c>
      <c r="H93" s="92">
        <f>'C. Masterfiles'!F$99</f>
        <v>2009</v>
      </c>
      <c r="I93" s="92">
        <f>'C. Masterfiles'!G$99</f>
        <v>2010</v>
      </c>
      <c r="J93" s="92">
        <f>'C. Masterfiles'!H$99</f>
        <v>2011</v>
      </c>
      <c r="K93" s="92">
        <f>'C. Masterfiles'!I$99</f>
        <v>2012</v>
      </c>
      <c r="M93" s="92">
        <f>'C. Masterfiles'!E$99</f>
        <v>2008</v>
      </c>
      <c r="N93" s="92">
        <f>'C. Masterfiles'!F$99</f>
        <v>2009</v>
      </c>
      <c r="O93" s="92">
        <f>'C. Masterfiles'!G$99</f>
        <v>2010</v>
      </c>
      <c r="P93" s="92">
        <f>'C. Masterfiles'!H$99</f>
        <v>2011</v>
      </c>
      <c r="Q93" s="92">
        <f>'C. Masterfiles'!I$99</f>
        <v>2012</v>
      </c>
      <c r="S93" s="1"/>
      <c r="T93" s="1"/>
      <c r="U93" s="1"/>
      <c r="V93" s="1"/>
      <c r="W93" s="1"/>
    </row>
    <row r="94" spans="3:24" ht="15">
      <c r="C94" s="312" t="str">
        <f>'C. Masterfiles'!C69</f>
        <v>T01</v>
      </c>
      <c r="D94" s="704" t="str">
        <f>'C. Masterfiles'!D69</f>
        <v>Rau-TS</v>
      </c>
      <c r="E94" s="663"/>
      <c r="F94" s="312" t="str">
        <f>'C. Masterfiles'!E69</f>
        <v>BHE</v>
      </c>
      <c r="G94" s="319">
        <f>(1+M94*'3.Network Design Parameters'!$H133/12)/'3.Network Design Parameters'!$E119</f>
        <v>1.1508908761256795</v>
      </c>
      <c r="H94" s="319">
        <f>(1+N94*'3.Network Design Parameters'!$H133/12)/'3.Network Design Parameters'!$E119</f>
        <v>1.1745953765190755</v>
      </c>
      <c r="I94" s="319">
        <f>(1+O94*'3.Network Design Parameters'!$H133/12)/'3.Network Design Parameters'!$E119</f>
        <v>1.192672520369494</v>
      </c>
      <c r="J94" s="319">
        <f>(1+P94*'3.Network Design Parameters'!$H133/12)/'3.Network Design Parameters'!$E119</f>
        <v>1.1808664726205564</v>
      </c>
      <c r="K94" s="319">
        <f>(1+Q94*'3.Network Design Parameters'!$H133/12)/'3.Network Design Parameters'!$E119</f>
        <v>1.1654017687307687</v>
      </c>
      <c r="M94" s="319">
        <f>IF($F94="BHE",H$53,IF($F94="Subscribers",H$55))</f>
        <v>-0.08653488419718036</v>
      </c>
      <c r="N94" s="319">
        <f>IF($F94="BHE",I$53,IF($F94="Subscribers",I$55))</f>
        <v>-0.06085500877100147</v>
      </c>
      <c r="O94" s="319">
        <f>IF($F94="BHE",J$53,IF($F94="Subscribers",J$55))</f>
        <v>-0.041271436266381634</v>
      </c>
      <c r="P94" s="319">
        <f>IF($F94="BHE",K$53,IF($F94="Subscribers",K$55))</f>
        <v>-0.05406132132773056</v>
      </c>
      <c r="Q94" s="319">
        <f>IF($F94="BHE",L$53,IF($F94="Subscribers",L$55))</f>
        <v>-0.07081475054166728</v>
      </c>
      <c r="S94" s="28"/>
      <c r="T94" s="28"/>
      <c r="U94" s="28"/>
      <c r="V94" s="28"/>
      <c r="W94" s="28"/>
      <c r="X94" s="126"/>
    </row>
    <row r="95" spans="3:24" ht="12.75">
      <c r="C95" s="312" t="str">
        <f>'C. Masterfiles'!C70</f>
        <v>T02</v>
      </c>
      <c r="D95" s="704" t="str">
        <f>'C. Masterfiles'!D70</f>
        <v>LS-TS</v>
      </c>
      <c r="E95" s="663"/>
      <c r="F95" s="312" t="str">
        <f>'C. Masterfiles'!E70</f>
        <v>BHE</v>
      </c>
      <c r="G95" s="319">
        <f>(1+M95*'3.Network Design Parameters'!$H134/12)/'3.Network Design Parameters'!$E120</f>
        <v>1.0473106972743684</v>
      </c>
      <c r="H95" s="319">
        <f>(1+N95*'3.Network Design Parameters'!$H134/12)/'3.Network Design Parameters'!$E120</f>
        <v>1.0688817926323588</v>
      </c>
      <c r="I95" s="319">
        <f>(1+O95*'3.Network Design Parameters'!$H134/12)/'3.Network Design Parameters'!$E120</f>
        <v>1.0853319935362395</v>
      </c>
      <c r="J95" s="319">
        <f>(1+P95*'3.Network Design Parameters'!$H134/12)/'3.Network Design Parameters'!$E120</f>
        <v>1.0745884900847065</v>
      </c>
      <c r="K95" s="319">
        <f>(1+Q95*'3.Network Design Parameters'!$H134/12)/'3.Network Design Parameters'!$E120</f>
        <v>1.0605156095449995</v>
      </c>
      <c r="M95" s="319">
        <f aca="true" t="shared" si="9" ref="M95:M102">IF($F95="BHE",H$53,IF($F95="Subscribers",H$55))</f>
        <v>-0.08653488419718036</v>
      </c>
      <c r="N95" s="319">
        <f aca="true" t="shared" si="10" ref="N95:N102">IF($F95="BHE",I$53,IF($F95="Subscribers",I$55))</f>
        <v>-0.06085500877100147</v>
      </c>
      <c r="O95" s="319">
        <f aca="true" t="shared" si="11" ref="O95:O102">IF($F95="BHE",J$53,IF($F95="Subscribers",J$55))</f>
        <v>-0.041271436266381634</v>
      </c>
      <c r="P95" s="319">
        <f aca="true" t="shared" si="12" ref="P95:P102">IF($F95="BHE",K$53,IF($F95="Subscribers",K$55))</f>
        <v>-0.05406132132773056</v>
      </c>
      <c r="Q95" s="319">
        <f aca="true" t="shared" si="13" ref="Q95:Q102">IF($F95="BHE",L$53,IF($F95="Subscribers",L$55))</f>
        <v>-0.07081475054166728</v>
      </c>
      <c r="X95" s="126"/>
    </row>
    <row r="96" spans="3:17" ht="12.75">
      <c r="C96" s="312" t="str">
        <f>'C. Masterfiles'!C71</f>
        <v>T03</v>
      </c>
      <c r="D96" s="704" t="str">
        <f>'C. Masterfiles'!D71</f>
        <v>TS-TS</v>
      </c>
      <c r="E96" s="663"/>
      <c r="F96" s="312" t="str">
        <f>'C. Masterfiles'!E71</f>
        <v>BHE</v>
      </c>
      <c r="G96" s="319">
        <f>(1+M96*'3.Network Design Parameters'!$H135/12)/'3.Network Design Parameters'!$E121</f>
        <v>1.4961581389633836</v>
      </c>
      <c r="H96" s="319">
        <f>(1+N96*'3.Network Design Parameters'!$H135/12)/'3.Network Design Parameters'!$E121</f>
        <v>1.5269739894747982</v>
      </c>
      <c r="I96" s="319">
        <f>(1+O96*'3.Network Design Parameters'!$H135/12)/'3.Network Design Parameters'!$E121</f>
        <v>1.550474276480342</v>
      </c>
      <c r="J96" s="319">
        <f>(1+P96*'3.Network Design Parameters'!$H135/12)/'3.Network Design Parameters'!$E121</f>
        <v>1.5351264144067234</v>
      </c>
      <c r="K96" s="319">
        <f>(1+Q96*'3.Network Design Parameters'!$H135/12)/'3.Network Design Parameters'!$E121</f>
        <v>1.5150222993499993</v>
      </c>
      <c r="M96" s="319">
        <f t="shared" si="9"/>
        <v>-0.08653488419718036</v>
      </c>
      <c r="N96" s="319">
        <f t="shared" si="10"/>
        <v>-0.06085500877100147</v>
      </c>
      <c r="O96" s="319">
        <f t="shared" si="11"/>
        <v>-0.041271436266381634</v>
      </c>
      <c r="P96" s="319">
        <f t="shared" si="12"/>
        <v>-0.05406132132773056</v>
      </c>
      <c r="Q96" s="319">
        <f t="shared" si="13"/>
        <v>-0.07081475054166728</v>
      </c>
    </row>
    <row r="97" spans="3:17" ht="12.75">
      <c r="C97" s="312" t="str">
        <f>'C. Masterfiles'!C72</f>
        <v>T04</v>
      </c>
      <c r="D97" s="704" t="str">
        <f>'C. Masterfiles'!D72</f>
        <v>TS-ISC</v>
      </c>
      <c r="E97" s="663"/>
      <c r="F97" s="312" t="str">
        <f>'C. Masterfiles'!E72</f>
        <v>BHE</v>
      </c>
      <c r="G97" s="319">
        <f>(1+M97*'3.Network Design Parameters'!$H136/12)/'3.Network Design Parameters'!$E122</f>
        <v>1.4961581389633836</v>
      </c>
      <c r="H97" s="319">
        <f>(1+N97*'3.Network Design Parameters'!$H136/12)/'3.Network Design Parameters'!$E122</f>
        <v>1.5269739894747982</v>
      </c>
      <c r="I97" s="319">
        <f>(1+O97*'3.Network Design Parameters'!$H136/12)/'3.Network Design Parameters'!$E122</f>
        <v>1.550474276480342</v>
      </c>
      <c r="J97" s="319">
        <f>(1+P97*'3.Network Design Parameters'!$H136/12)/'3.Network Design Parameters'!$E122</f>
        <v>1.5351264144067234</v>
      </c>
      <c r="K97" s="319">
        <f>(1+Q97*'3.Network Design Parameters'!$H136/12)/'3.Network Design Parameters'!$E122</f>
        <v>1.5150222993499993</v>
      </c>
      <c r="M97" s="319">
        <f t="shared" si="9"/>
        <v>-0.08653488419718036</v>
      </c>
      <c r="N97" s="319">
        <f t="shared" si="10"/>
        <v>-0.06085500877100147</v>
      </c>
      <c r="O97" s="319">
        <f t="shared" si="11"/>
        <v>-0.041271436266381634</v>
      </c>
      <c r="P97" s="319">
        <f t="shared" si="12"/>
        <v>-0.05406132132773056</v>
      </c>
      <c r="Q97" s="319">
        <f t="shared" si="13"/>
        <v>-0.07081475054166728</v>
      </c>
    </row>
    <row r="98" spans="3:17" ht="12.75">
      <c r="C98" s="312" t="str">
        <f>'C. Masterfiles'!C73</f>
        <v>T05</v>
      </c>
      <c r="D98" s="704" t="str">
        <f>'C. Masterfiles'!D73</f>
        <v>ISC-ISC</v>
      </c>
      <c r="E98" s="663"/>
      <c r="F98" s="312" t="str">
        <f>'C. Masterfiles'!E73</f>
        <v>BHE</v>
      </c>
      <c r="G98" s="319">
        <f>(1+M98*'3.Network Design Parameters'!$H137/12)/'3.Network Design Parameters'!$E123</f>
        <v>1.4961581389633836</v>
      </c>
      <c r="H98" s="319">
        <f>(1+N98*'3.Network Design Parameters'!$H137/12)/'3.Network Design Parameters'!$E123</f>
        <v>1.5269739894747982</v>
      </c>
      <c r="I98" s="319">
        <f>(1+O98*'3.Network Design Parameters'!$H137/12)/'3.Network Design Parameters'!$E123</f>
        <v>1.550474276480342</v>
      </c>
      <c r="J98" s="319">
        <f>(1+P98*'3.Network Design Parameters'!$H137/12)/'3.Network Design Parameters'!$E123</f>
        <v>1.5351264144067234</v>
      </c>
      <c r="K98" s="319">
        <f>(1+Q98*'3.Network Design Parameters'!$H137/12)/'3.Network Design Parameters'!$E123</f>
        <v>1.5150222993499993</v>
      </c>
      <c r="M98" s="319">
        <f t="shared" si="9"/>
        <v>-0.08653488419718036</v>
      </c>
      <c r="N98" s="319">
        <f t="shared" si="10"/>
        <v>-0.06085500877100147</v>
      </c>
      <c r="O98" s="319">
        <f t="shared" si="11"/>
        <v>-0.041271436266381634</v>
      </c>
      <c r="P98" s="319">
        <f t="shared" si="12"/>
        <v>-0.05406132132773056</v>
      </c>
      <c r="Q98" s="319">
        <f t="shared" si="13"/>
        <v>-0.07081475054166728</v>
      </c>
    </row>
    <row r="99" spans="3:17" ht="12.75">
      <c r="C99" s="312" t="str">
        <f>'C. Masterfiles'!C74</f>
        <v>T06</v>
      </c>
      <c r="D99" s="704" t="str">
        <f>'C. Masterfiles'!D74</f>
        <v>ISC-IN</v>
      </c>
      <c r="E99" s="663"/>
      <c r="F99" s="312" t="str">
        <f>'C. Masterfiles'!E74</f>
        <v>BHE</v>
      </c>
      <c r="G99" s="319">
        <f>(1+M99*'3.Network Design Parameters'!$H138/12)/'3.Network Design Parameters'!$E124</f>
        <v>1.4961581389633836</v>
      </c>
      <c r="H99" s="319">
        <f>(1+N99*'3.Network Design Parameters'!$H138/12)/'3.Network Design Parameters'!$E124</f>
        <v>1.5269739894747982</v>
      </c>
      <c r="I99" s="319">
        <f>(1+O99*'3.Network Design Parameters'!$H138/12)/'3.Network Design Parameters'!$E124</f>
        <v>1.550474276480342</v>
      </c>
      <c r="J99" s="319">
        <f>(1+P99*'3.Network Design Parameters'!$H138/12)/'3.Network Design Parameters'!$E124</f>
        <v>1.5351264144067234</v>
      </c>
      <c r="K99" s="319">
        <f>(1+Q99*'3.Network Design Parameters'!$H138/12)/'3.Network Design Parameters'!$E124</f>
        <v>1.5150222993499993</v>
      </c>
      <c r="M99" s="319">
        <f t="shared" si="9"/>
        <v>-0.08653488419718036</v>
      </c>
      <c r="N99" s="319">
        <f t="shared" si="10"/>
        <v>-0.06085500877100147</v>
      </c>
      <c r="O99" s="319">
        <f t="shared" si="11"/>
        <v>-0.041271436266381634</v>
      </c>
      <c r="P99" s="319">
        <f t="shared" si="12"/>
        <v>-0.05406132132773056</v>
      </c>
      <c r="Q99" s="319">
        <f t="shared" si="13"/>
        <v>-0.07081475054166728</v>
      </c>
    </row>
    <row r="100" spans="3:17" ht="12.75">
      <c r="C100" s="312" t="str">
        <f>'C. Masterfiles'!C75</f>
        <v>T07</v>
      </c>
      <c r="D100" s="704" t="str">
        <f>'C. Masterfiles'!D75</f>
        <v>TS-IN</v>
      </c>
      <c r="E100" s="663"/>
      <c r="F100" s="312" t="str">
        <f>'C. Masterfiles'!E75</f>
        <v>BHE</v>
      </c>
      <c r="G100" s="319">
        <f>(1+M100*'3.Network Design Parameters'!$H139/12)/'3.Network Design Parameters'!$E125</f>
        <v>1.4961581389633836</v>
      </c>
      <c r="H100" s="319">
        <f>(1+N100*'3.Network Design Parameters'!$H139/12)/'3.Network Design Parameters'!$E125</f>
        <v>1.5269739894747982</v>
      </c>
      <c r="I100" s="319">
        <f>(1+O100*'3.Network Design Parameters'!$H139/12)/'3.Network Design Parameters'!$E125</f>
        <v>1.550474276480342</v>
      </c>
      <c r="J100" s="319">
        <f>(1+P100*'3.Network Design Parameters'!$H139/12)/'3.Network Design Parameters'!$E125</f>
        <v>1.5351264144067234</v>
      </c>
      <c r="K100" s="319">
        <f>(1+Q100*'3.Network Design Parameters'!$H139/12)/'3.Network Design Parameters'!$E125</f>
        <v>1.5150222993499993</v>
      </c>
      <c r="M100" s="319">
        <f t="shared" si="9"/>
        <v>-0.08653488419718036</v>
      </c>
      <c r="N100" s="319">
        <f t="shared" si="10"/>
        <v>-0.06085500877100147</v>
      </c>
      <c r="O100" s="319">
        <f t="shared" si="11"/>
        <v>-0.041271436266381634</v>
      </c>
      <c r="P100" s="319">
        <f t="shared" si="12"/>
        <v>-0.05406132132773056</v>
      </c>
      <c r="Q100" s="319">
        <f t="shared" si="13"/>
        <v>-0.07081475054166728</v>
      </c>
    </row>
    <row r="101" spans="3:17" ht="12.75">
      <c r="C101" s="312" t="str">
        <f>'C. Masterfiles'!C76</f>
        <v>T08</v>
      </c>
      <c r="D101" s="704" t="str">
        <f>'C. Masterfiles'!D76</f>
        <v>TS-IGW</v>
      </c>
      <c r="E101" s="663"/>
      <c r="F101" s="312" t="str">
        <f>'C. Masterfiles'!E76</f>
        <v>BHE</v>
      </c>
      <c r="G101" s="319">
        <f>(1+M101*'3.Network Design Parameters'!$H140/12)/'3.Network Design Parameters'!$E126</f>
        <v>0.9742425090924357</v>
      </c>
      <c r="H101" s="319">
        <f>(1+N101*'3.Network Design Parameters'!$H140/12)/'3.Network Design Parameters'!$E126</f>
        <v>0.9943086443091709</v>
      </c>
      <c r="I101" s="319">
        <f>(1+O101*'3.Network Design Parameters'!$H140/12)/'3.Network Design Parameters'!$E126</f>
        <v>1.0096111567778971</v>
      </c>
      <c r="J101" s="319">
        <f>(1+P101*'3.Network Design Parameters'!$H140/12)/'3.Network Design Parameters'!$E126</f>
        <v>0.9996172000787965</v>
      </c>
      <c r="K101" s="319">
        <f>(1+Q101*'3.Network Design Parameters'!$H140/12)/'3.Network Design Parameters'!$E126</f>
        <v>0.986526148413953</v>
      </c>
      <c r="M101" s="319">
        <f t="shared" si="9"/>
        <v>-0.08653488419718036</v>
      </c>
      <c r="N101" s="319">
        <f t="shared" si="10"/>
        <v>-0.06085500877100147</v>
      </c>
      <c r="O101" s="319">
        <f t="shared" si="11"/>
        <v>-0.041271436266381634</v>
      </c>
      <c r="P101" s="319">
        <f t="shared" si="12"/>
        <v>-0.05406132132773056</v>
      </c>
      <c r="Q101" s="319">
        <f t="shared" si="13"/>
        <v>-0.07081475054166728</v>
      </c>
    </row>
    <row r="102" spans="3:17" ht="12.75">
      <c r="C102" s="312" t="str">
        <f>'C. Masterfiles'!C77</f>
        <v>T09</v>
      </c>
      <c r="D102" s="704" t="str">
        <f>'C. Masterfiles'!D77</f>
        <v>LS-LS</v>
      </c>
      <c r="E102" s="663"/>
      <c r="F102" s="312" t="str">
        <f>'C. Masterfiles'!E77</f>
        <v>BHE</v>
      </c>
      <c r="G102" s="319">
        <f>(1+M102*'3.Network Design Parameters'!$H141/12)/'3.Network Design Parameters'!$E127</f>
        <v>0.9350988368521147</v>
      </c>
      <c r="H102" s="319">
        <f>(1+N102*'3.Network Design Parameters'!$H141/12)/'3.Network Design Parameters'!$E127</f>
        <v>0.9543587434217489</v>
      </c>
      <c r="I102" s="319">
        <f>(1+O102*'3.Network Design Parameters'!$H141/12)/'3.Network Design Parameters'!$E127</f>
        <v>0.9690464228002138</v>
      </c>
      <c r="J102" s="319">
        <f>(1+P102*'3.Network Design Parameters'!$H141/12)/'3.Network Design Parameters'!$E127</f>
        <v>0.9594540090042021</v>
      </c>
      <c r="K102" s="319">
        <f>(1+Q102*'3.Network Design Parameters'!$H141/12)/'3.Network Design Parameters'!$E127</f>
        <v>0.9468889370937495</v>
      </c>
      <c r="M102" s="319">
        <f t="shared" si="9"/>
        <v>-0.08653488419718036</v>
      </c>
      <c r="N102" s="319">
        <f t="shared" si="10"/>
        <v>-0.06085500877100147</v>
      </c>
      <c r="O102" s="319">
        <f t="shared" si="11"/>
        <v>-0.041271436266381634</v>
      </c>
      <c r="P102" s="319">
        <f t="shared" si="12"/>
        <v>-0.05406132132773056</v>
      </c>
      <c r="Q102" s="319">
        <f t="shared" si="13"/>
        <v>-0.07081475054166728</v>
      </c>
    </row>
    <row r="103" spans="3:17" ht="12.75">
      <c r="C103" s="90" t="str">
        <f>'C. Masterfiles'!C78</f>
        <v>End</v>
      </c>
      <c r="D103" s="705" t="str">
        <f>'C. Masterfiles'!D78</f>
        <v>End of list</v>
      </c>
      <c r="E103" s="706"/>
      <c r="F103" s="183"/>
      <c r="G103" s="156"/>
      <c r="H103" s="156"/>
      <c r="I103" s="156"/>
      <c r="J103" s="183"/>
      <c r="K103" s="183"/>
      <c r="M103" s="156"/>
      <c r="N103" s="156"/>
      <c r="O103" s="156"/>
      <c r="P103" s="183"/>
      <c r="Q103" s="183"/>
    </row>
    <row r="104" spans="3:4" ht="12.75">
      <c r="C104" s="54"/>
      <c r="D104" s="54"/>
    </row>
    <row r="105" spans="2:28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7:11" ht="12.75">
      <c r="G106" s="1"/>
      <c r="H106" s="1"/>
      <c r="I106" s="1"/>
      <c r="J106" s="1"/>
      <c r="K106" s="1"/>
    </row>
    <row r="107" spans="2:11" ht="15.75">
      <c r="B107" s="269">
        <f>B75+0.01</f>
        <v>6.049999999999999</v>
      </c>
      <c r="C107" s="153" t="s">
        <v>133</v>
      </c>
      <c r="G107" s="1"/>
      <c r="H107" s="1"/>
      <c r="I107" s="1"/>
      <c r="J107" s="1"/>
      <c r="K107" s="1"/>
    </row>
    <row r="108" spans="7:11" ht="12.75">
      <c r="G108" s="138"/>
      <c r="H108" s="138"/>
      <c r="I108" s="138"/>
      <c r="J108" s="138"/>
      <c r="K108" s="138"/>
    </row>
    <row r="110" spans="3:11" ht="12.75">
      <c r="C110" s="135"/>
      <c r="D110" s="509" t="s">
        <v>134</v>
      </c>
      <c r="E110" s="17" t="s">
        <v>652</v>
      </c>
      <c r="F110" s="18"/>
      <c r="G110" s="92">
        <f>'C. Masterfiles'!E$99</f>
        <v>2008</v>
      </c>
      <c r="H110" s="92">
        <f>'C. Masterfiles'!F$99</f>
        <v>2009</v>
      </c>
      <c r="I110" s="92">
        <f>'C. Masterfiles'!G$99</f>
        <v>2010</v>
      </c>
      <c r="J110" s="92">
        <f>'C. Masterfiles'!H$99</f>
        <v>2011</v>
      </c>
      <c r="K110" s="92">
        <f>'C. Masterfiles'!I$99</f>
        <v>2012</v>
      </c>
    </row>
    <row r="111" spans="2:28" ht="12.75">
      <c r="B111" s="25"/>
      <c r="C111" s="136"/>
      <c r="D111" s="340" t="s">
        <v>702</v>
      </c>
      <c r="E111" s="229" t="s">
        <v>702</v>
      </c>
      <c r="F111" s="131"/>
      <c r="G111" s="333">
        <f>G54*'3.Network Design Parameters'!F21</f>
        <v>422740</v>
      </c>
      <c r="H111" s="333">
        <f>H54*'3.Network Design Parameters'!G21</f>
        <v>516876.94999999995</v>
      </c>
      <c r="I111" s="333">
        <f>I54*'3.Network Design Parameters'!H21</f>
        <v>610663.8999999999</v>
      </c>
      <c r="J111" s="333">
        <f>J54*'3.Network Design Parameters'!I21</f>
        <v>708491.4584683279</v>
      </c>
      <c r="K111" s="333">
        <f>K54*'3.Network Design Parameters'!J21</f>
        <v>810616.996306673</v>
      </c>
      <c r="L111" s="36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2:28" ht="12.75">
      <c r="B112" s="25"/>
      <c r="C112" s="136"/>
      <c r="D112" s="556" t="s">
        <v>138</v>
      </c>
      <c r="E112" s="556" t="s">
        <v>139</v>
      </c>
      <c r="F112" s="131"/>
      <c r="G112" s="333">
        <f>'3.Network Design Parameters'!$H50</f>
        <v>1250</v>
      </c>
      <c r="H112" s="333">
        <f>'3.Network Design Parameters'!$H50</f>
        <v>1250</v>
      </c>
      <c r="I112" s="333">
        <f>'3.Network Design Parameters'!$H50</f>
        <v>1250</v>
      </c>
      <c r="J112" s="333">
        <f>'3.Network Design Parameters'!$H50</f>
        <v>1250</v>
      </c>
      <c r="K112" s="333">
        <f>'3.Network Design Parameters'!$H50</f>
        <v>1250</v>
      </c>
      <c r="L112" s="36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2:28" ht="12.75">
      <c r="B113" s="25"/>
      <c r="C113" s="136"/>
      <c r="D113" s="139" t="s">
        <v>586</v>
      </c>
      <c r="E113" s="556" t="s">
        <v>140</v>
      </c>
      <c r="F113" s="131"/>
      <c r="G113" s="333">
        <f>G111/G112</f>
        <v>338.192</v>
      </c>
      <c r="H113" s="333">
        <f>H111/H112</f>
        <v>413.50156</v>
      </c>
      <c r="I113" s="333">
        <f>I111/I112</f>
        <v>488.53111999999993</v>
      </c>
      <c r="J113" s="333">
        <f>J111/J112</f>
        <v>566.7931667746623</v>
      </c>
      <c r="K113" s="333">
        <f>K111/K112</f>
        <v>648.4935970453384</v>
      </c>
      <c r="L113" s="36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2:28" ht="12.75">
      <c r="B114" s="25"/>
      <c r="C114" s="136"/>
      <c r="D114" s="139" t="s">
        <v>587</v>
      </c>
      <c r="E114" s="556" t="s">
        <v>140</v>
      </c>
      <c r="F114" s="132"/>
      <c r="G114" s="333">
        <f>CEILING((G111*G$79)/G112,1)</f>
        <v>430</v>
      </c>
      <c r="H114" s="333">
        <f>CEILING((H111*H$79)/H112,1)</f>
        <v>523</v>
      </c>
      <c r="I114" s="333">
        <f>CEILING((I111*I$79)/I112,1)</f>
        <v>618</v>
      </c>
      <c r="J114" s="333">
        <f>CEILING((J111*J$79)/J112,1)</f>
        <v>717</v>
      </c>
      <c r="K114" s="333">
        <f>CEILING((K111*K$79)/K112,1)</f>
        <v>820</v>
      </c>
      <c r="L114" s="36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2:28" ht="12.75">
      <c r="B115" s="25"/>
      <c r="C115" s="13"/>
      <c r="D115" s="17"/>
      <c r="E115" s="17"/>
      <c r="F115" s="133"/>
      <c r="G115" s="134"/>
      <c r="H115" s="134"/>
      <c r="I115" s="134"/>
      <c r="J115" s="134"/>
      <c r="K115" s="134"/>
      <c r="L115" s="36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</row>
    <row r="116" ht="13.5" customHeight="1">
      <c r="E116" s="83"/>
    </row>
    <row r="117" ht="12.75">
      <c r="E117" s="83"/>
    </row>
    <row r="118" spans="3:11" ht="12.75">
      <c r="C118" s="135"/>
      <c r="D118" s="509" t="s">
        <v>135</v>
      </c>
      <c r="E118" s="17" t="s">
        <v>652</v>
      </c>
      <c r="F118" s="18"/>
      <c r="G118" s="92">
        <f>'C. Masterfiles'!E$99</f>
        <v>2008</v>
      </c>
      <c r="H118" s="92">
        <f>'C. Masterfiles'!F$99</f>
        <v>2009</v>
      </c>
      <c r="I118" s="92">
        <f>'C. Masterfiles'!G$99</f>
        <v>2010</v>
      </c>
      <c r="J118" s="92">
        <f>'C. Masterfiles'!H$99</f>
        <v>2011</v>
      </c>
      <c r="K118" s="92">
        <f>'C. Masterfiles'!I$99</f>
        <v>2012</v>
      </c>
    </row>
    <row r="119" spans="2:28" ht="12.75">
      <c r="B119" s="25"/>
      <c r="C119" s="136"/>
      <c r="D119" s="340" t="s">
        <v>702</v>
      </c>
      <c r="E119" s="229" t="s">
        <v>702</v>
      </c>
      <c r="F119" s="341"/>
      <c r="G119" s="333">
        <f>G54*'3.Network Design Parameters'!F22</f>
        <v>634110</v>
      </c>
      <c r="H119" s="333">
        <f>H54*'3.Network Design Parameters'!G22</f>
        <v>571285.05</v>
      </c>
      <c r="I119" s="333">
        <f>I54*'3.Network Design Parameters'!H22</f>
        <v>499634.1000000001</v>
      </c>
      <c r="J119" s="333">
        <f>J54*'3.Network Design Parameters'!I22</f>
        <v>425094.87508099695</v>
      </c>
      <c r="K119" s="333">
        <f>K54*'3.Network Design Parameters'!J22</f>
        <v>347407.28413143137</v>
      </c>
      <c r="L119" s="36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  <row r="120" spans="2:28" ht="12.75">
      <c r="B120" s="25"/>
      <c r="C120" s="136"/>
      <c r="D120" s="557" t="s">
        <v>142</v>
      </c>
      <c r="E120" s="558" t="s">
        <v>184</v>
      </c>
      <c r="F120" s="341"/>
      <c r="G120" s="333">
        <f>'3.Network Design Parameters'!$H51</f>
        <v>1250</v>
      </c>
      <c r="H120" s="333">
        <f>'3.Network Design Parameters'!$H51</f>
        <v>1250</v>
      </c>
      <c r="I120" s="333">
        <f>'3.Network Design Parameters'!$H51</f>
        <v>1250</v>
      </c>
      <c r="J120" s="333">
        <f>'3.Network Design Parameters'!$H51</f>
        <v>1250</v>
      </c>
      <c r="K120" s="333">
        <f>'3.Network Design Parameters'!$H51</f>
        <v>1250</v>
      </c>
      <c r="L120" s="36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</row>
    <row r="121" spans="2:28" ht="12.75">
      <c r="B121" s="25"/>
      <c r="C121" s="136"/>
      <c r="D121" s="139" t="s">
        <v>586</v>
      </c>
      <c r="E121" s="558" t="s">
        <v>143</v>
      </c>
      <c r="F121" s="341"/>
      <c r="G121" s="334">
        <f>G119/G120</f>
        <v>507.288</v>
      </c>
      <c r="H121" s="334">
        <f>H119/H120</f>
        <v>457.02804000000003</v>
      </c>
      <c r="I121" s="334">
        <f>I119/I120</f>
        <v>399.7072800000001</v>
      </c>
      <c r="J121" s="334">
        <f>J119/J120</f>
        <v>340.07590006479757</v>
      </c>
      <c r="K121" s="334">
        <f>K119/K120</f>
        <v>277.9258273051451</v>
      </c>
      <c r="L121" s="36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</row>
    <row r="122" spans="2:28" ht="12.75">
      <c r="B122" s="25"/>
      <c r="C122" s="136"/>
      <c r="D122" s="139" t="s">
        <v>587</v>
      </c>
      <c r="E122" s="558" t="s">
        <v>143</v>
      </c>
      <c r="F122" s="341"/>
      <c r="G122" s="334">
        <f>CEILING((G119*G$80)/G120,1)</f>
        <v>644</v>
      </c>
      <c r="H122" s="334">
        <f>CEILING((H119*H$80)/H120,1)</f>
        <v>578</v>
      </c>
      <c r="I122" s="334">
        <f>CEILING((I119*I$80)/I120,1)</f>
        <v>505</v>
      </c>
      <c r="J122" s="334">
        <f>CEILING((J119*J$80)/J120,1)</f>
        <v>430</v>
      </c>
      <c r="K122" s="334">
        <f>CEILING((K119*K$80)/K120,1)</f>
        <v>352</v>
      </c>
      <c r="L122" s="36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</row>
    <row r="123" spans="2:28" ht="12.75">
      <c r="B123" s="25"/>
      <c r="C123" s="13"/>
      <c r="D123" s="17"/>
      <c r="E123" s="17"/>
      <c r="F123" s="133"/>
      <c r="G123" s="134"/>
      <c r="H123" s="134"/>
      <c r="I123" s="134"/>
      <c r="J123" s="134"/>
      <c r="K123" s="134"/>
      <c r="L123" s="36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</row>
    <row r="124" ht="12.75">
      <c r="E124" s="83"/>
    </row>
    <row r="125" ht="12.75">
      <c r="E125" s="83"/>
    </row>
    <row r="126" spans="3:11" ht="12.75">
      <c r="C126" s="135"/>
      <c r="D126" s="509" t="s">
        <v>136</v>
      </c>
      <c r="E126" s="17" t="s">
        <v>652</v>
      </c>
      <c r="F126" s="18"/>
      <c r="G126" s="92">
        <f>'C. Masterfiles'!E$99</f>
        <v>2008</v>
      </c>
      <c r="H126" s="92">
        <f>'C. Masterfiles'!F$99</f>
        <v>2009</v>
      </c>
      <c r="I126" s="92">
        <f>'C. Masterfiles'!G$99</f>
        <v>2010</v>
      </c>
      <c r="J126" s="92">
        <f>'C. Masterfiles'!H$99</f>
        <v>2011</v>
      </c>
      <c r="K126" s="92">
        <f>'C. Masterfiles'!I$99</f>
        <v>2012</v>
      </c>
    </row>
    <row r="127" spans="2:28" ht="12.75">
      <c r="B127" s="25"/>
      <c r="C127" s="136"/>
      <c r="D127" s="557" t="s">
        <v>141</v>
      </c>
      <c r="E127" s="558" t="s">
        <v>701</v>
      </c>
      <c r="F127" s="341"/>
      <c r="G127" s="333">
        <f>G63</f>
        <v>44098.383787732215</v>
      </c>
      <c r="H127" s="333">
        <f>H63</f>
        <v>40833.63476120541</v>
      </c>
      <c r="I127" s="333">
        <f>I63</f>
        <v>38661.21454025066</v>
      </c>
      <c r="J127" s="333">
        <f>J63</f>
        <v>37164.89142757419</v>
      </c>
      <c r="K127" s="333">
        <f>K63</f>
        <v>35174.17882959762</v>
      </c>
      <c r="L127" s="36"/>
      <c r="N127" s="94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</row>
    <row r="128" spans="2:28" ht="12.75">
      <c r="B128" s="25"/>
      <c r="C128" s="136"/>
      <c r="D128" s="557" t="s">
        <v>144</v>
      </c>
      <c r="E128" s="558" t="s">
        <v>145</v>
      </c>
      <c r="F128" s="341"/>
      <c r="G128" s="333">
        <f>'3.Network Design Parameters'!$H52</f>
        <v>1500</v>
      </c>
      <c r="H128" s="333">
        <f>'3.Network Design Parameters'!$H52</f>
        <v>1500</v>
      </c>
      <c r="I128" s="333">
        <f>'3.Network Design Parameters'!$H52</f>
        <v>1500</v>
      </c>
      <c r="J128" s="333">
        <f>'3.Network Design Parameters'!$H52</f>
        <v>1500</v>
      </c>
      <c r="K128" s="333">
        <f>'3.Network Design Parameters'!$H52</f>
        <v>1500</v>
      </c>
      <c r="L128" s="36"/>
      <c r="N128" s="9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</row>
    <row r="129" spans="2:28" ht="12.75">
      <c r="B129" s="25"/>
      <c r="C129" s="136"/>
      <c r="D129" s="139" t="s">
        <v>586</v>
      </c>
      <c r="E129" s="558" t="s">
        <v>146</v>
      </c>
      <c r="F129" s="341"/>
      <c r="G129" s="334">
        <f>G127/G128</f>
        <v>29.39892252515481</v>
      </c>
      <c r="H129" s="334">
        <f>H127/H128</f>
        <v>27.22242317413694</v>
      </c>
      <c r="I129" s="334">
        <f>I127/I128</f>
        <v>25.774143026833773</v>
      </c>
      <c r="J129" s="334">
        <f>J127/J128</f>
        <v>24.776594285049462</v>
      </c>
      <c r="K129" s="334">
        <f>K127/K128</f>
        <v>23.449452553065083</v>
      </c>
      <c r="L129" s="36"/>
      <c r="N129" s="94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</row>
    <row r="130" spans="2:28" ht="12.75">
      <c r="B130" s="25"/>
      <c r="C130" s="136"/>
      <c r="D130" s="139" t="s">
        <v>587</v>
      </c>
      <c r="E130" s="558" t="s">
        <v>146</v>
      </c>
      <c r="F130" s="341"/>
      <c r="G130" s="334">
        <f>CEILING((G127*G$81)/G128,1)</f>
        <v>36</v>
      </c>
      <c r="H130" s="334">
        <f>CEILING((H127*H$81)/H128,1)</f>
        <v>33</v>
      </c>
      <c r="I130" s="334">
        <f>CEILING((I127*I$81)/I128,1)</f>
        <v>32</v>
      </c>
      <c r="J130" s="334">
        <f>CEILING((J127*J$81)/J128,1)</f>
        <v>31</v>
      </c>
      <c r="K130" s="334">
        <f>CEILING((K127*K$81)/K128,1)</f>
        <v>29</v>
      </c>
      <c r="L130" s="36"/>
      <c r="N130" s="94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</row>
    <row r="131" spans="2:28" ht="12.75">
      <c r="B131" s="25"/>
      <c r="C131" s="13"/>
      <c r="D131" s="17"/>
      <c r="E131" s="17"/>
      <c r="F131" s="133"/>
      <c r="G131" s="134"/>
      <c r="H131" s="134"/>
      <c r="I131" s="134"/>
      <c r="J131" s="134"/>
      <c r="K131" s="134"/>
      <c r="L131" s="36"/>
      <c r="N131" s="3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</row>
    <row r="132" ht="12.75">
      <c r="E132" s="83"/>
    </row>
    <row r="133" ht="12.75">
      <c r="E133" s="83"/>
    </row>
    <row r="134" spans="3:11" ht="12.75">
      <c r="C134" s="135"/>
      <c r="D134" s="509" t="s">
        <v>137</v>
      </c>
      <c r="E134" s="17" t="s">
        <v>652</v>
      </c>
      <c r="F134" s="18"/>
      <c r="G134" s="92">
        <f>'C. Masterfiles'!E$99</f>
        <v>2008</v>
      </c>
      <c r="H134" s="92">
        <f>'C. Masterfiles'!F$99</f>
        <v>2009</v>
      </c>
      <c r="I134" s="92">
        <f>'C. Masterfiles'!G$99</f>
        <v>2010</v>
      </c>
      <c r="J134" s="92">
        <f>'C. Masterfiles'!H$99</f>
        <v>2011</v>
      </c>
      <c r="K134" s="92">
        <f>'C. Masterfiles'!I$99</f>
        <v>2012</v>
      </c>
    </row>
    <row r="135" spans="2:28" ht="12.75">
      <c r="B135" s="25"/>
      <c r="C135" s="136"/>
      <c r="D135" s="557" t="s">
        <v>141</v>
      </c>
      <c r="E135" s="558" t="s">
        <v>701</v>
      </c>
      <c r="F135" s="131"/>
      <c r="G135" s="333">
        <f>G64</f>
        <v>15956.701473763967</v>
      </c>
      <c r="H135" s="333">
        <f>H64</f>
        <v>13333.587854200134</v>
      </c>
      <c r="I135" s="333">
        <f>I64</f>
        <v>12100.932577516258</v>
      </c>
      <c r="J135" s="333">
        <f>J64</f>
        <v>11221.575534445621</v>
      </c>
      <c r="K135" s="333">
        <f>K64</f>
        <v>10333.936905485358</v>
      </c>
      <c r="L135" s="36"/>
      <c r="N135" s="94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</row>
    <row r="136" spans="2:28" ht="12.75">
      <c r="B136" s="25"/>
      <c r="C136" s="136"/>
      <c r="D136" s="559" t="s">
        <v>147</v>
      </c>
      <c r="E136" s="556" t="s">
        <v>148</v>
      </c>
      <c r="F136" s="131"/>
      <c r="G136" s="333">
        <f>'3.Network Design Parameters'!$H53</f>
        <v>10000</v>
      </c>
      <c r="H136" s="333">
        <f>'3.Network Design Parameters'!$H53</f>
        <v>10000</v>
      </c>
      <c r="I136" s="333">
        <f>'3.Network Design Parameters'!$H53</f>
        <v>10000</v>
      </c>
      <c r="J136" s="333">
        <f>'3.Network Design Parameters'!$H53</f>
        <v>10000</v>
      </c>
      <c r="K136" s="333">
        <f>'3.Network Design Parameters'!$H53</f>
        <v>10000</v>
      </c>
      <c r="L136" s="36"/>
      <c r="N136" s="94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</row>
    <row r="137" spans="2:28" ht="12.75">
      <c r="B137" s="25"/>
      <c r="C137" s="136"/>
      <c r="D137" s="139" t="s">
        <v>586</v>
      </c>
      <c r="E137" s="556" t="s">
        <v>149</v>
      </c>
      <c r="F137" s="131"/>
      <c r="G137" s="334">
        <f>CEILING(G135/G136,1)</f>
        <v>2</v>
      </c>
      <c r="H137" s="334">
        <f>CEILING(H135/H136,1)</f>
        <v>2</v>
      </c>
      <c r="I137" s="334">
        <f>CEILING(I135/I136,1)</f>
        <v>2</v>
      </c>
      <c r="J137" s="334">
        <f>CEILING(J135/J136,1)</f>
        <v>2</v>
      </c>
      <c r="K137" s="334">
        <f>CEILING(K135/K136,1)</f>
        <v>2</v>
      </c>
      <c r="L137" s="36"/>
      <c r="N137" s="94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</row>
    <row r="138" spans="2:28" ht="12.75">
      <c r="B138" s="25"/>
      <c r="C138" s="136"/>
      <c r="D138" s="139" t="s">
        <v>587</v>
      </c>
      <c r="E138" s="556" t="s">
        <v>149</v>
      </c>
      <c r="F138" s="131"/>
      <c r="G138" s="334">
        <f>CEILING((G135*G$82)/G136,1)</f>
        <v>2</v>
      </c>
      <c r="H138" s="334">
        <f>CEILING((H135*H$82)/H136,1)</f>
        <v>2</v>
      </c>
      <c r="I138" s="334">
        <f>CEILING((I135*I$82)/I136,1)</f>
        <v>2</v>
      </c>
      <c r="J138" s="334">
        <f>CEILING((J135*J$82)/J136,1)</f>
        <v>2</v>
      </c>
      <c r="K138" s="334">
        <f>CEILING((K135*K$82)/K136,1)</f>
        <v>2</v>
      </c>
      <c r="L138" s="36"/>
      <c r="N138" s="94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</row>
    <row r="139" spans="2:28" ht="12.75">
      <c r="B139" s="25"/>
      <c r="C139" s="13"/>
      <c r="D139" s="17"/>
      <c r="E139" s="17"/>
      <c r="F139" s="133"/>
      <c r="G139" s="134"/>
      <c r="H139" s="134"/>
      <c r="I139" s="134"/>
      <c r="J139" s="134"/>
      <c r="K139" s="134"/>
      <c r="L139" s="36"/>
      <c r="N139" s="36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</row>
    <row r="140" ht="12.75">
      <c r="E140" s="83"/>
    </row>
    <row r="141" ht="12.75">
      <c r="E141" s="83"/>
    </row>
    <row r="142" spans="3:11" ht="12.75">
      <c r="C142" s="135"/>
      <c r="D142" s="509" t="s">
        <v>588</v>
      </c>
      <c r="E142" s="17" t="s">
        <v>652</v>
      </c>
      <c r="F142" s="18"/>
      <c r="G142" s="92">
        <f>'C. Masterfiles'!E$99</f>
        <v>2008</v>
      </c>
      <c r="H142" s="92">
        <f>'C. Masterfiles'!F$99</f>
        <v>2009</v>
      </c>
      <c r="I142" s="92">
        <f>'C. Masterfiles'!G$99</f>
        <v>2010</v>
      </c>
      <c r="J142" s="92">
        <f>'C. Masterfiles'!H$99</f>
        <v>2011</v>
      </c>
      <c r="K142" s="92">
        <f>'C. Masterfiles'!I$99</f>
        <v>2012</v>
      </c>
    </row>
    <row r="143" spans="3:11" ht="12.75">
      <c r="C143" s="136"/>
      <c r="D143" s="340" t="s">
        <v>702</v>
      </c>
      <c r="E143" s="229" t="s">
        <v>702</v>
      </c>
      <c r="F143" s="131"/>
      <c r="G143" s="333">
        <f>G$54</f>
        <v>1056850</v>
      </c>
      <c r="H143" s="333">
        <f>H$54</f>
        <v>1088162</v>
      </c>
      <c r="I143" s="333">
        <f>I$54</f>
        <v>1110298</v>
      </c>
      <c r="J143" s="333">
        <f>J$54</f>
        <v>1133586.333549325</v>
      </c>
      <c r="K143" s="333">
        <f>K$54</f>
        <v>1158024.2804381044</v>
      </c>
    </row>
    <row r="144" spans="3:11" ht="12.75">
      <c r="C144" s="136"/>
      <c r="D144" s="560" t="s">
        <v>732</v>
      </c>
      <c r="E144" s="556" t="s">
        <v>150</v>
      </c>
      <c r="F144" s="131"/>
      <c r="G144" s="333">
        <f>'3.Network Design Parameters'!$H$54</f>
        <v>1000000</v>
      </c>
      <c r="H144" s="333">
        <f>'3.Network Design Parameters'!$H$54</f>
        <v>1000000</v>
      </c>
      <c r="I144" s="333">
        <f>'3.Network Design Parameters'!$H$54</f>
        <v>1000000</v>
      </c>
      <c r="J144" s="333">
        <f>'3.Network Design Parameters'!$H$54</f>
        <v>1000000</v>
      </c>
      <c r="K144" s="333">
        <f>'3.Network Design Parameters'!$H$54</f>
        <v>1000000</v>
      </c>
    </row>
    <row r="145" spans="3:11" ht="12.75">
      <c r="C145" s="136"/>
      <c r="D145" s="139" t="s">
        <v>586</v>
      </c>
      <c r="E145" s="556" t="s">
        <v>731</v>
      </c>
      <c r="F145" s="131"/>
      <c r="G145" s="334">
        <f>CEILING(G143/G144,1)</f>
        <v>2</v>
      </c>
      <c r="H145" s="334">
        <f>CEILING(H143/H144,1)</f>
        <v>2</v>
      </c>
      <c r="I145" s="334">
        <f>CEILING(I143/I144,1)</f>
        <v>2</v>
      </c>
      <c r="J145" s="334">
        <f>CEILING(J143/J144,1)</f>
        <v>2</v>
      </c>
      <c r="K145" s="334">
        <f>CEILING(K143/K144,1)</f>
        <v>2</v>
      </c>
    </row>
    <row r="146" spans="3:11" ht="12.75">
      <c r="C146" s="136"/>
      <c r="D146" s="139" t="s">
        <v>587</v>
      </c>
      <c r="E146" s="556" t="s">
        <v>731</v>
      </c>
      <c r="F146" s="131"/>
      <c r="G146" s="334">
        <f>CEILING((G143*G$83)/G144,1)</f>
        <v>2</v>
      </c>
      <c r="H146" s="334">
        <f>CEILING((H143*H$83)/H144,1)</f>
        <v>2</v>
      </c>
      <c r="I146" s="334">
        <f>CEILING((I143*I$83)/I144,1)</f>
        <v>2</v>
      </c>
      <c r="J146" s="334">
        <f>CEILING((J143*J$83)/J144,1)</f>
        <v>2</v>
      </c>
      <c r="K146" s="334">
        <f>CEILING((K143*K$83)/K144,1)</f>
        <v>2</v>
      </c>
    </row>
    <row r="147" spans="3:11" ht="12.75">
      <c r="C147" s="13"/>
      <c r="D147" s="17"/>
      <c r="E147" s="17"/>
      <c r="F147" s="133"/>
      <c r="G147" s="134"/>
      <c r="H147" s="134"/>
      <c r="I147" s="134"/>
      <c r="J147" s="134"/>
      <c r="K147" s="134"/>
    </row>
    <row r="148" ht="12.75">
      <c r="E148" s="83"/>
    </row>
    <row r="149" ht="12.75">
      <c r="E149" s="83"/>
    </row>
    <row r="150" spans="3:11" ht="12.75">
      <c r="C150" s="135"/>
      <c r="D150" s="509" t="s">
        <v>839</v>
      </c>
      <c r="E150" s="17" t="s">
        <v>652</v>
      </c>
      <c r="F150" s="18"/>
      <c r="G150" s="92">
        <f>'C. Masterfiles'!E$99</f>
        <v>2008</v>
      </c>
      <c r="H150" s="92">
        <f>'C. Masterfiles'!F$99</f>
        <v>2009</v>
      </c>
      <c r="I150" s="92">
        <f>'C. Masterfiles'!G$99</f>
        <v>2010</v>
      </c>
      <c r="J150" s="92">
        <f>'C. Masterfiles'!H$99</f>
        <v>2011</v>
      </c>
      <c r="K150" s="92">
        <f>'C. Masterfiles'!I$99</f>
        <v>2012</v>
      </c>
    </row>
    <row r="151" spans="2:28" ht="12.75">
      <c r="B151" s="25"/>
      <c r="C151" s="136"/>
      <c r="D151" s="340" t="s">
        <v>702</v>
      </c>
      <c r="E151" s="229" t="s">
        <v>702</v>
      </c>
      <c r="F151" s="131"/>
      <c r="G151" s="333">
        <f>G$54</f>
        <v>1056850</v>
      </c>
      <c r="H151" s="333">
        <f>H$54</f>
        <v>1088162</v>
      </c>
      <c r="I151" s="333">
        <f>I$54</f>
        <v>1110298</v>
      </c>
      <c r="J151" s="333">
        <f>J$54</f>
        <v>1133586.333549325</v>
      </c>
      <c r="K151" s="333">
        <f>K$54</f>
        <v>1158024.2804381044</v>
      </c>
      <c r="L151" s="36"/>
      <c r="N151" s="94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2:28" ht="12.75">
      <c r="B152" s="25"/>
      <c r="C152" s="136"/>
      <c r="D152" s="560" t="s">
        <v>842</v>
      </c>
      <c r="E152" s="556" t="s">
        <v>840</v>
      </c>
      <c r="F152" s="131"/>
      <c r="G152" s="333">
        <f>'3.Network Design Parameters'!$H$55</f>
        <v>1600000</v>
      </c>
      <c r="H152" s="333">
        <f>'3.Network Design Parameters'!$H$55</f>
        <v>1600000</v>
      </c>
      <c r="I152" s="333">
        <f>'3.Network Design Parameters'!$H$55</f>
        <v>1600000</v>
      </c>
      <c r="J152" s="333">
        <f>'3.Network Design Parameters'!$H$55</f>
        <v>1600000</v>
      </c>
      <c r="K152" s="333">
        <f>'3.Network Design Parameters'!$H$55</f>
        <v>1600000</v>
      </c>
      <c r="L152" s="36"/>
      <c r="N152" s="94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2:28" ht="12.75">
      <c r="B153" s="25"/>
      <c r="C153" s="136"/>
      <c r="D153" s="139" t="s">
        <v>586</v>
      </c>
      <c r="E153" s="556" t="s">
        <v>841</v>
      </c>
      <c r="F153" s="131"/>
      <c r="G153" s="334">
        <f>CEILING(G151/G152,1)</f>
        <v>1</v>
      </c>
      <c r="H153" s="334">
        <f>CEILING(H151/H152,1)</f>
        <v>1</v>
      </c>
      <c r="I153" s="334">
        <f>CEILING(I151/I152,1)</f>
        <v>1</v>
      </c>
      <c r="J153" s="334">
        <f>CEILING(J151/J152,1)</f>
        <v>1</v>
      </c>
      <c r="K153" s="334">
        <f>CEILING(K151/K152,1)</f>
        <v>1</v>
      </c>
      <c r="L153" s="36"/>
      <c r="N153" s="94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2:28" ht="12.75">
      <c r="B154" s="25"/>
      <c r="C154" s="136"/>
      <c r="D154" s="139" t="s">
        <v>587</v>
      </c>
      <c r="E154" s="556" t="s">
        <v>841</v>
      </c>
      <c r="F154" s="131"/>
      <c r="G154" s="334">
        <f>IF(G153=0,0,CEILING((G151*G$84)/G152,1))</f>
        <v>1</v>
      </c>
      <c r="H154" s="334">
        <f>IF(H153=0,0,CEILING((H151*H$84)/H152,1))</f>
        <v>1</v>
      </c>
      <c r="I154" s="334">
        <f>IF(I153=0,0,CEILING((I151*I$84)/I152,1))</f>
        <v>1</v>
      </c>
      <c r="J154" s="334">
        <f>IF(J153=0,0,CEILING((J151*J$84)/J152,1))</f>
        <v>1</v>
      </c>
      <c r="K154" s="334">
        <f>IF(K153=0,0,CEILING((K151*K$84)/K152,1))</f>
        <v>1</v>
      </c>
      <c r="L154" s="36"/>
      <c r="N154" s="94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2:28" ht="12.75">
      <c r="B155" s="25"/>
      <c r="C155" s="13"/>
      <c r="D155" s="17"/>
      <c r="E155" s="17"/>
      <c r="F155" s="133"/>
      <c r="G155" s="134"/>
      <c r="H155" s="134"/>
      <c r="I155" s="134"/>
      <c r="J155" s="134"/>
      <c r="K155" s="134"/>
      <c r="L155" s="36"/>
      <c r="N155" s="36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ht="12.75">
      <c r="E156" s="83"/>
    </row>
    <row r="157" ht="12.75">
      <c r="E157" s="83"/>
    </row>
    <row r="158" spans="3:11" ht="12.75">
      <c r="C158" s="135"/>
      <c r="D158" s="509" t="s">
        <v>940</v>
      </c>
      <c r="E158" s="17" t="s">
        <v>652</v>
      </c>
      <c r="F158" s="18"/>
      <c r="G158" s="92">
        <f>'C. Masterfiles'!E$99</f>
        <v>2008</v>
      </c>
      <c r="H158" s="92">
        <f>'C. Masterfiles'!F$99</f>
        <v>2009</v>
      </c>
      <c r="I158" s="92">
        <f>'C. Masterfiles'!G$99</f>
        <v>2010</v>
      </c>
      <c r="J158" s="92">
        <f>'C. Masterfiles'!H$99</f>
        <v>2011</v>
      </c>
      <c r="K158" s="92">
        <f>'C. Masterfiles'!I$99</f>
        <v>2012</v>
      </c>
    </row>
    <row r="159" spans="3:11" ht="12.75">
      <c r="C159" s="136"/>
      <c r="D159" s="340" t="s">
        <v>702</v>
      </c>
      <c r="E159" s="229" t="s">
        <v>702</v>
      </c>
      <c r="F159" s="131"/>
      <c r="G159" s="333">
        <f>G$54</f>
        <v>1056850</v>
      </c>
      <c r="H159" s="333">
        <f>H$54</f>
        <v>1088162</v>
      </c>
      <c r="I159" s="333">
        <f>I$54</f>
        <v>1110298</v>
      </c>
      <c r="J159" s="333">
        <f>J$54</f>
        <v>1133586.333549325</v>
      </c>
      <c r="K159" s="333">
        <f>K$54</f>
        <v>1158024.2804381044</v>
      </c>
    </row>
    <row r="160" spans="3:11" ht="12.75">
      <c r="C160" s="136"/>
      <c r="D160" s="559" t="s">
        <v>941</v>
      </c>
      <c r="E160" s="556" t="s">
        <v>151</v>
      </c>
      <c r="F160" s="131"/>
      <c r="G160" s="333">
        <f>'3.Network Design Parameters'!$H56</f>
        <v>1600000</v>
      </c>
      <c r="H160" s="333">
        <f>'3.Network Design Parameters'!$H56</f>
        <v>1600000</v>
      </c>
      <c r="I160" s="333">
        <f>'3.Network Design Parameters'!$H56</f>
        <v>1600000</v>
      </c>
      <c r="J160" s="333">
        <f>'3.Network Design Parameters'!$H56</f>
        <v>1600000</v>
      </c>
      <c r="K160" s="333">
        <f>'3.Network Design Parameters'!$H56</f>
        <v>1600000</v>
      </c>
    </row>
    <row r="161" spans="3:11" ht="12.75">
      <c r="C161" s="136"/>
      <c r="D161" s="139" t="s">
        <v>586</v>
      </c>
      <c r="E161" s="556" t="s">
        <v>943</v>
      </c>
      <c r="F161" s="131"/>
      <c r="G161" s="334">
        <f>CEILING(G159/G160,1)</f>
        <v>1</v>
      </c>
      <c r="H161" s="334">
        <f>CEILING(H159/H160,1)</f>
        <v>1</v>
      </c>
      <c r="I161" s="334">
        <f>CEILING(I159/I160,1)</f>
        <v>1</v>
      </c>
      <c r="J161" s="334">
        <f>CEILING(J159/J160,1)</f>
        <v>1</v>
      </c>
      <c r="K161" s="334">
        <f>CEILING(K159/K160,1)</f>
        <v>1</v>
      </c>
    </row>
    <row r="162" spans="3:11" ht="12.75">
      <c r="C162" s="136"/>
      <c r="D162" s="139" t="s">
        <v>587</v>
      </c>
      <c r="E162" s="556" t="s">
        <v>943</v>
      </c>
      <c r="F162" s="131"/>
      <c r="G162" s="334">
        <f>CEILING((G159*G$85)/G160,1)</f>
        <v>1</v>
      </c>
      <c r="H162" s="334">
        <f>CEILING((H159*H$85)/H160,1)</f>
        <v>1</v>
      </c>
      <c r="I162" s="334">
        <f>CEILING((I159*I$85)/I160,1)</f>
        <v>1</v>
      </c>
      <c r="J162" s="334">
        <f>CEILING((J159*J$85)/J160,1)</f>
        <v>1</v>
      </c>
      <c r="K162" s="334">
        <f>CEILING((K159*K$85)/K160,1)</f>
        <v>1</v>
      </c>
    </row>
    <row r="163" spans="3:11" ht="12.75">
      <c r="C163" s="13"/>
      <c r="D163" s="17"/>
      <c r="E163" s="17"/>
      <c r="F163" s="133"/>
      <c r="G163" s="134"/>
      <c r="H163" s="134"/>
      <c r="I163" s="134"/>
      <c r="J163" s="134"/>
      <c r="K163" s="134"/>
    </row>
    <row r="164" spans="3:11" ht="12.75">
      <c r="C164" s="54"/>
      <c r="D164" s="54"/>
      <c r="E164" s="54"/>
      <c r="F164" s="54"/>
      <c r="G164" s="54"/>
      <c r="H164" s="54"/>
      <c r="I164" s="54"/>
      <c r="J164" s="54"/>
      <c r="K164" s="54"/>
    </row>
    <row r="165" ht="12.75">
      <c r="E165" s="83"/>
    </row>
    <row r="166" spans="3:11" ht="12.75">
      <c r="C166" s="135"/>
      <c r="D166" s="509" t="s">
        <v>942</v>
      </c>
      <c r="E166" s="17" t="s">
        <v>652</v>
      </c>
      <c r="F166" s="18"/>
      <c r="G166" s="92">
        <f>'C. Masterfiles'!E$99</f>
        <v>2008</v>
      </c>
      <c r="H166" s="92">
        <f>'C. Masterfiles'!F$99</f>
        <v>2009</v>
      </c>
      <c r="I166" s="92">
        <f>'C. Masterfiles'!G$99</f>
        <v>2010</v>
      </c>
      <c r="J166" s="92">
        <f>'C. Masterfiles'!H$99</f>
        <v>2011</v>
      </c>
      <c r="K166" s="92">
        <f>'C. Masterfiles'!I$99</f>
        <v>2012</v>
      </c>
    </row>
    <row r="167" spans="2:28" ht="12.75">
      <c r="B167" s="25"/>
      <c r="C167" s="136"/>
      <c r="D167" s="340" t="s">
        <v>702</v>
      </c>
      <c r="E167" s="229" t="s">
        <v>702</v>
      </c>
      <c r="F167" s="131"/>
      <c r="G167" s="333">
        <f>G$54</f>
        <v>1056850</v>
      </c>
      <c r="H167" s="333">
        <f>H$54</f>
        <v>1088162</v>
      </c>
      <c r="I167" s="333">
        <f>I$54</f>
        <v>1110298</v>
      </c>
      <c r="J167" s="333">
        <f>J$54</f>
        <v>1133586.333549325</v>
      </c>
      <c r="K167" s="333">
        <f>K$54</f>
        <v>1158024.2804381044</v>
      </c>
      <c r="L167" s="36"/>
      <c r="N167" s="94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2:28" ht="12.75">
      <c r="B168" s="25"/>
      <c r="C168" s="136"/>
      <c r="D168" s="140" t="s">
        <v>709</v>
      </c>
      <c r="E168" s="556" t="s">
        <v>152</v>
      </c>
      <c r="F168" s="131"/>
      <c r="G168" s="333">
        <f>'3.Network Design Parameters'!$H57</f>
        <v>1600000</v>
      </c>
      <c r="H168" s="333">
        <f>'3.Network Design Parameters'!$H57</f>
        <v>1600000</v>
      </c>
      <c r="I168" s="333">
        <f>'3.Network Design Parameters'!$H57</f>
        <v>1600000</v>
      </c>
      <c r="J168" s="333">
        <f>'3.Network Design Parameters'!$H57</f>
        <v>1600000</v>
      </c>
      <c r="K168" s="333">
        <f>'3.Network Design Parameters'!$H57</f>
        <v>1600000</v>
      </c>
      <c r="L168" s="36"/>
      <c r="N168" s="94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2:28" ht="12.75">
      <c r="B169" s="25"/>
      <c r="C169" s="136"/>
      <c r="D169" s="139" t="s">
        <v>586</v>
      </c>
      <c r="E169" s="556" t="s">
        <v>944</v>
      </c>
      <c r="F169" s="131"/>
      <c r="G169" s="334">
        <f>CEILING(G167/G168,1)</f>
        <v>1</v>
      </c>
      <c r="H169" s="334">
        <f>CEILING(H167/H168,1)</f>
        <v>1</v>
      </c>
      <c r="I169" s="334">
        <f>CEILING(I167/I168,1)</f>
        <v>1</v>
      </c>
      <c r="J169" s="334">
        <f>CEILING(J167/J168,1)</f>
        <v>1</v>
      </c>
      <c r="K169" s="334">
        <f>CEILING(K167/K168,1)</f>
        <v>1</v>
      </c>
      <c r="L169" s="36"/>
      <c r="N169" s="94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2:28" ht="12.75">
      <c r="B170" s="25"/>
      <c r="C170" s="136"/>
      <c r="D170" s="139" t="s">
        <v>587</v>
      </c>
      <c r="E170" s="556" t="s">
        <v>944</v>
      </c>
      <c r="F170" s="131"/>
      <c r="G170" s="334">
        <f>CEILING((G167*G$86)/G168,1)</f>
        <v>1</v>
      </c>
      <c r="H170" s="334">
        <f>CEILING((H167*H$86)/H168,1)</f>
        <v>1</v>
      </c>
      <c r="I170" s="334">
        <f>CEILING((I167*I$86)/I168,1)</f>
        <v>1</v>
      </c>
      <c r="J170" s="334">
        <f>CEILING((J167*J$86)/J168,1)</f>
        <v>1</v>
      </c>
      <c r="K170" s="334">
        <f>CEILING((K167*K$86)/K168,1)</f>
        <v>1</v>
      </c>
      <c r="L170" s="36"/>
      <c r="N170" s="94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2:28" ht="12.75">
      <c r="B171" s="25"/>
      <c r="C171" s="13"/>
      <c r="D171" s="17"/>
      <c r="E171" s="17"/>
      <c r="F171" s="133"/>
      <c r="G171" s="134"/>
      <c r="H171" s="134"/>
      <c r="I171" s="134"/>
      <c r="J171" s="134"/>
      <c r="K171" s="134"/>
      <c r="L171" s="36"/>
      <c r="N171" s="36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</row>
    <row r="172" ht="12.75">
      <c r="E172" s="83"/>
    </row>
    <row r="173" ht="12.75">
      <c r="E173" s="83"/>
    </row>
    <row r="174" spans="3:11" ht="12.75">
      <c r="C174" s="135"/>
      <c r="D174" s="509" t="s">
        <v>708</v>
      </c>
      <c r="E174" s="17" t="s">
        <v>652</v>
      </c>
      <c r="F174" s="18"/>
      <c r="G174" s="92">
        <f>'C. Masterfiles'!E$99</f>
        <v>2008</v>
      </c>
      <c r="H174" s="92">
        <f>'C. Masterfiles'!F$99</f>
        <v>2009</v>
      </c>
      <c r="I174" s="92">
        <f>'C. Masterfiles'!G$99</f>
        <v>2010</v>
      </c>
      <c r="J174" s="92">
        <f>'C. Masterfiles'!H$99</f>
        <v>2011</v>
      </c>
      <c r="K174" s="92">
        <f>'C. Masterfiles'!I$99</f>
        <v>2012</v>
      </c>
    </row>
    <row r="175" spans="3:11" ht="12.75">
      <c r="C175" s="136"/>
      <c r="D175" s="340" t="s">
        <v>702</v>
      </c>
      <c r="E175" s="229" t="s">
        <v>702</v>
      </c>
      <c r="F175" s="131"/>
      <c r="G175" s="333">
        <f>G$54</f>
        <v>1056850</v>
      </c>
      <c r="H175" s="333">
        <f>H$54</f>
        <v>1088162</v>
      </c>
      <c r="I175" s="333">
        <f>I$54</f>
        <v>1110298</v>
      </c>
      <c r="J175" s="333">
        <f>J$54</f>
        <v>1133586.333549325</v>
      </c>
      <c r="K175" s="333">
        <f>K$54</f>
        <v>1158024.2804381044</v>
      </c>
    </row>
    <row r="176" spans="3:11" ht="12.75">
      <c r="C176" s="136"/>
      <c r="D176" s="140" t="s">
        <v>939</v>
      </c>
      <c r="E176" s="556" t="s">
        <v>585</v>
      </c>
      <c r="F176" s="131"/>
      <c r="G176" s="333">
        <f>'3.Network Design Parameters'!$H58</f>
        <v>1600000</v>
      </c>
      <c r="H176" s="333">
        <f>'3.Network Design Parameters'!$H58</f>
        <v>1600000</v>
      </c>
      <c r="I176" s="333">
        <f>'3.Network Design Parameters'!$H58</f>
        <v>1600000</v>
      </c>
      <c r="J176" s="333">
        <f>'3.Network Design Parameters'!$H58</f>
        <v>1600000</v>
      </c>
      <c r="K176" s="333">
        <f>'3.Network Design Parameters'!$H58</f>
        <v>1600000</v>
      </c>
    </row>
    <row r="177" spans="3:11" ht="12.75">
      <c r="C177" s="136"/>
      <c r="D177" s="139" t="s">
        <v>586</v>
      </c>
      <c r="E177" s="556" t="s">
        <v>710</v>
      </c>
      <c r="F177" s="131"/>
      <c r="G177" s="334">
        <f>CEILING(G175/G176,1)</f>
        <v>1</v>
      </c>
      <c r="H177" s="334">
        <f>CEILING(H175/H176,1)</f>
        <v>1</v>
      </c>
      <c r="I177" s="334">
        <f>CEILING(I175/I176,1)</f>
        <v>1</v>
      </c>
      <c r="J177" s="334">
        <f>CEILING(J175/J176,1)</f>
        <v>1</v>
      </c>
      <c r="K177" s="334">
        <f>CEILING(K175/K176,1)</f>
        <v>1</v>
      </c>
    </row>
    <row r="178" spans="3:11" ht="12.75">
      <c r="C178" s="136"/>
      <c r="D178" s="139" t="s">
        <v>587</v>
      </c>
      <c r="E178" s="556" t="s">
        <v>710</v>
      </c>
      <c r="F178" s="131"/>
      <c r="G178" s="334">
        <f>CEILING((G175*G$87)/G176,1)</f>
        <v>1</v>
      </c>
      <c r="H178" s="334">
        <f>CEILING((H175*H$87)/H176,1)</f>
        <v>1</v>
      </c>
      <c r="I178" s="334">
        <f>CEILING((I175*I$87)/I176,1)</f>
        <v>1</v>
      </c>
      <c r="J178" s="334">
        <f>CEILING((J175*J$87)/J176,1)</f>
        <v>1</v>
      </c>
      <c r="K178" s="334">
        <f>CEILING((K175*K$87)/K176,1)</f>
        <v>1</v>
      </c>
    </row>
    <row r="179" spans="3:11" ht="12.75">
      <c r="C179" s="13"/>
      <c r="D179" s="17"/>
      <c r="E179" s="17"/>
      <c r="F179" s="133"/>
      <c r="G179" s="134"/>
      <c r="H179" s="134"/>
      <c r="I179" s="134"/>
      <c r="J179" s="134"/>
      <c r="K179" s="134"/>
    </row>
    <row r="180" ht="12.75">
      <c r="E180" s="83"/>
    </row>
    <row r="181" ht="12.75">
      <c r="E181" s="83"/>
    </row>
    <row r="182" spans="3:11" ht="12.75">
      <c r="C182" s="135"/>
      <c r="D182" s="509" t="s">
        <v>938</v>
      </c>
      <c r="E182" s="17" t="s">
        <v>652</v>
      </c>
      <c r="F182" s="18"/>
      <c r="G182" s="92">
        <f>'C. Masterfiles'!E$99</f>
        <v>2008</v>
      </c>
      <c r="H182" s="92">
        <f>'C. Masterfiles'!F$99</f>
        <v>2009</v>
      </c>
      <c r="I182" s="92">
        <f>'C. Masterfiles'!G$99</f>
        <v>2010</v>
      </c>
      <c r="J182" s="92">
        <f>'C. Masterfiles'!H$99</f>
        <v>2011</v>
      </c>
      <c r="K182" s="92">
        <f>'C. Masterfiles'!I$99</f>
        <v>2012</v>
      </c>
    </row>
    <row r="183" spans="2:28" ht="12.75">
      <c r="B183" s="25"/>
      <c r="C183" s="136"/>
      <c r="D183" s="340" t="s">
        <v>702</v>
      </c>
      <c r="E183" s="229" t="s">
        <v>702</v>
      </c>
      <c r="F183" s="131"/>
      <c r="G183" s="333">
        <f>G$54</f>
        <v>1056850</v>
      </c>
      <c r="H183" s="333">
        <f>H$54</f>
        <v>1088162</v>
      </c>
      <c r="I183" s="333">
        <f>I$54</f>
        <v>1110298</v>
      </c>
      <c r="J183" s="333">
        <f>J$54</f>
        <v>1133586.333549325</v>
      </c>
      <c r="K183" s="333">
        <f>K$54</f>
        <v>1158024.2804381044</v>
      </c>
      <c r="L183" s="36"/>
      <c r="N183" s="94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2:28" ht="12.75">
      <c r="B184" s="25"/>
      <c r="C184" s="136"/>
      <c r="D184" s="140" t="s">
        <v>939</v>
      </c>
      <c r="E184" s="37" t="s">
        <v>945</v>
      </c>
      <c r="F184" s="131"/>
      <c r="G184" s="333">
        <f>'3.Network Design Parameters'!$H59</f>
        <v>1600000</v>
      </c>
      <c r="H184" s="333">
        <f>'3.Network Design Parameters'!$H59</f>
        <v>1600000</v>
      </c>
      <c r="I184" s="333">
        <f>'3.Network Design Parameters'!$H59</f>
        <v>1600000</v>
      </c>
      <c r="J184" s="333">
        <f>'3.Network Design Parameters'!$H59</f>
        <v>1600000</v>
      </c>
      <c r="K184" s="333">
        <f>'3.Network Design Parameters'!$H59</f>
        <v>1600000</v>
      </c>
      <c r="L184" s="36"/>
      <c r="N184" s="94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2:28" ht="12.75">
      <c r="B185" s="25"/>
      <c r="C185" s="136"/>
      <c r="D185" s="139" t="s">
        <v>586</v>
      </c>
      <c r="E185" s="37" t="s">
        <v>946</v>
      </c>
      <c r="F185" s="131"/>
      <c r="G185" s="334">
        <f>CEILING(G183/G184,1)</f>
        <v>1</v>
      </c>
      <c r="H185" s="334">
        <f>CEILING(H183/H184,1)</f>
        <v>1</v>
      </c>
      <c r="I185" s="334">
        <f>CEILING(I183/I184,1)</f>
        <v>1</v>
      </c>
      <c r="J185" s="334">
        <f>CEILING(J183/J184,1)</f>
        <v>1</v>
      </c>
      <c r="K185" s="334">
        <f>CEILING(K183/K184,1)</f>
        <v>1</v>
      </c>
      <c r="L185" s="36"/>
      <c r="N185" s="94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2:28" ht="12.75">
      <c r="B186" s="25"/>
      <c r="C186" s="136"/>
      <c r="D186" s="139" t="s">
        <v>587</v>
      </c>
      <c r="E186" s="37" t="s">
        <v>946</v>
      </c>
      <c r="F186" s="131"/>
      <c r="G186" s="334">
        <f>CEILING((G183*G$88)/G184,1)</f>
        <v>1</v>
      </c>
      <c r="H186" s="334">
        <f>CEILING((H183*H$88)/H184,1)</f>
        <v>1</v>
      </c>
      <c r="I186" s="334">
        <f>CEILING((I183*I$88)/I184,1)</f>
        <v>1</v>
      </c>
      <c r="J186" s="334">
        <f>CEILING((J183*J$88)/J184,1)</f>
        <v>1</v>
      </c>
      <c r="K186" s="334">
        <f>CEILING((K183*K$88)/K184,1)</f>
        <v>1</v>
      </c>
      <c r="L186" s="36"/>
      <c r="N186" s="94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2:28" ht="12.75">
      <c r="B187" s="25"/>
      <c r="C187" s="13"/>
      <c r="D187" s="17"/>
      <c r="E187" s="17"/>
      <c r="F187" s="133"/>
      <c r="G187" s="134"/>
      <c r="H187" s="134"/>
      <c r="I187" s="134"/>
      <c r="J187" s="134"/>
      <c r="K187" s="134"/>
      <c r="L187" s="36"/>
      <c r="N187" s="36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ht="12.75">
      <c r="E188" s="83"/>
    </row>
    <row r="189" spans="7:11" ht="12.75">
      <c r="G189" s="1"/>
      <c r="H189" s="1"/>
      <c r="I189" s="1"/>
      <c r="J189" s="1"/>
      <c r="K189" s="1"/>
    </row>
    <row r="190" ht="12.75">
      <c r="E190" s="83"/>
    </row>
    <row r="191" spans="2:4" ht="15.75">
      <c r="B191" s="267">
        <f>B107+0.01</f>
        <v>6.059999999999999</v>
      </c>
      <c r="C191" s="29" t="s">
        <v>800</v>
      </c>
      <c r="D191" s="28"/>
    </row>
    <row r="192" spans="2:4" ht="15.75">
      <c r="B192" s="267"/>
      <c r="C192" s="29"/>
      <c r="D192" s="28"/>
    </row>
    <row r="193" spans="2:11" ht="25.5" customHeight="1">
      <c r="B193" s="267"/>
      <c r="C193" s="135"/>
      <c r="D193" s="17" t="s">
        <v>695</v>
      </c>
      <c r="E193" s="17" t="s">
        <v>652</v>
      </c>
      <c r="F193" s="18"/>
      <c r="G193" s="92">
        <f>'C. Masterfiles'!E$99</f>
        <v>2008</v>
      </c>
      <c r="H193" s="92">
        <f>'C. Masterfiles'!F$99</f>
        <v>2009</v>
      </c>
      <c r="I193" s="92">
        <f>'C. Masterfiles'!G$99</f>
        <v>2010</v>
      </c>
      <c r="J193" s="92">
        <f>'C. Masterfiles'!H$99</f>
        <v>2011</v>
      </c>
      <c r="K193" s="92">
        <f>'C. Masterfiles'!I$99</f>
        <v>2012</v>
      </c>
    </row>
    <row r="194" spans="2:11" ht="12.75" customHeight="1">
      <c r="B194" s="267"/>
      <c r="C194" s="139" t="str">
        <f>'C. Masterfiles'!C69</f>
        <v>T01</v>
      </c>
      <c r="D194" s="139" t="str">
        <f>'C. Masterfiles'!D69</f>
        <v>Rau-TS</v>
      </c>
      <c r="E194" s="139" t="str">
        <f>'C. Masterfiles'!E69</f>
        <v>BHE</v>
      </c>
      <c r="F194" s="131"/>
      <c r="G194" s="333">
        <f>SUMPRODUCT(G$37:G$48,'3.Network Design Parameters'!$E$242:$E$253)</f>
        <v>24671.581080532775</v>
      </c>
      <c r="H194" s="333">
        <f>SUMPRODUCT(H$37:H$48,'3.Network Design Parameters'!$E$242:$E$253)</f>
        <v>23265.60605245456</v>
      </c>
      <c r="I194" s="333">
        <f>SUMPRODUCT(I$37:I$48,'3.Network Design Parameters'!$E$242:$E$253)</f>
        <v>22082.325143903105</v>
      </c>
      <c r="J194" s="333">
        <f>SUMPRODUCT(J$37:J$48,'3.Network Design Parameters'!$E$242:$E$253)</f>
        <v>21380.013331801907</v>
      </c>
      <c r="K194" s="333">
        <f>SUMPRODUCT(K$37:K$48,'3.Network Design Parameters'!$E$242:$E$253)</f>
        <v>20361.272725447692</v>
      </c>
    </row>
    <row r="195" spans="2:11" ht="12.75" customHeight="1">
      <c r="B195" s="267"/>
      <c r="C195" s="139" t="str">
        <f>'C. Masterfiles'!C70</f>
        <v>T02</v>
      </c>
      <c r="D195" s="139" t="str">
        <f>'C. Masterfiles'!D70</f>
        <v>LS-TS</v>
      </c>
      <c r="E195" s="139" t="str">
        <f>'C. Masterfiles'!E70</f>
        <v>BHE</v>
      </c>
      <c r="F195" s="131"/>
      <c r="G195" s="333">
        <f>SUMPRODUCT(G$37:G$48,'3.Network Design Parameters'!$F$242:$F$253)</f>
        <v>24671.581080532775</v>
      </c>
      <c r="H195" s="333">
        <f>SUMPRODUCT(H$37:H$48,'3.Network Design Parameters'!$F$242:$F$253)</f>
        <v>23265.60605245456</v>
      </c>
      <c r="I195" s="333">
        <f>SUMPRODUCT(I$37:I$48,'3.Network Design Parameters'!$F$242:$F$253)</f>
        <v>22082.325143903105</v>
      </c>
      <c r="J195" s="333">
        <f>SUMPRODUCT(J$37:J$48,'3.Network Design Parameters'!$F$242:$F$253)</f>
        <v>21380.013331801907</v>
      </c>
      <c r="K195" s="333">
        <f>SUMPRODUCT(K$37:K$48,'3.Network Design Parameters'!$F$242:$F$253)</f>
        <v>20361.272725447692</v>
      </c>
    </row>
    <row r="196" spans="2:11" ht="12.75" customHeight="1">
      <c r="B196" s="267"/>
      <c r="C196" s="139" t="str">
        <f>'C. Masterfiles'!C71</f>
        <v>T03</v>
      </c>
      <c r="D196" s="139" t="str">
        <f>'C. Masterfiles'!D71</f>
        <v>TS-TS</v>
      </c>
      <c r="E196" s="139" t="str">
        <f>'C. Masterfiles'!E71</f>
        <v>BHE</v>
      </c>
      <c r="F196" s="131"/>
      <c r="G196" s="333">
        <f>SUMPRODUCT(G$37:G$48,'3.Network Design Parameters'!$G$242:$G$253)</f>
        <v>6550.0340888888895</v>
      </c>
      <c r="H196" s="333">
        <f>SUMPRODUCT(H$37:H$48,'3.Network Design Parameters'!$G$242:$G$253)</f>
        <v>6421.198699999999</v>
      </c>
      <c r="I196" s="333">
        <f>SUMPRODUCT(I$37:I$48,'3.Network Design Parameters'!$G$242:$G$253)</f>
        <v>6268.2666666666655</v>
      </c>
      <c r="J196" s="333">
        <f>SUMPRODUCT(J$37:J$48,'3.Network Design Parameters'!$G$242:$G$253)</f>
        <v>6157.615675555553</v>
      </c>
      <c r="K196" s="333">
        <f>SUMPRODUCT(K$37:K$48,'3.Network Design Parameters'!$G$242:$G$253)</f>
        <v>5919.561595733333</v>
      </c>
    </row>
    <row r="197" spans="2:11" ht="12.75" customHeight="1">
      <c r="B197" s="267"/>
      <c r="C197" s="139" t="str">
        <f>'C. Masterfiles'!C72</f>
        <v>T04</v>
      </c>
      <c r="D197" s="139" t="str">
        <f>'C. Masterfiles'!D72</f>
        <v>TS-ISC</v>
      </c>
      <c r="E197" s="139" t="str">
        <f>'C. Masterfiles'!E72</f>
        <v>BHE</v>
      </c>
      <c r="F197" s="131"/>
      <c r="G197" s="333">
        <f>SUMPRODUCT(G$37:G$48,'3.Network Design Parameters'!$H$242:$H$253)</f>
        <v>18823.01842487508</v>
      </c>
      <c r="H197" s="333">
        <f>SUMPRODUCT(H$37:H$48,'3.Network Design Parameters'!$H$242:$H$253)</f>
        <v>16054.35450901495</v>
      </c>
      <c r="I197" s="333">
        <f>SUMPRODUCT(I$37:I$48,'3.Network Design Parameters'!$H$242:$H$253)</f>
        <v>14403.563205071816</v>
      </c>
      <c r="J197" s="333">
        <f>SUMPRODUCT(J$37:J$48,'3.Network Design Parameters'!$H$242:$H$253)</f>
        <v>13267.184274475252</v>
      </c>
      <c r="K197" s="333">
        <f>SUMPRODUCT(K$37:K$48,'3.Network Design Parameters'!$H$242:$H$253)</f>
        <v>12108.372441983136</v>
      </c>
    </row>
    <row r="198" spans="2:11" ht="12.75" customHeight="1">
      <c r="B198" s="267"/>
      <c r="C198" s="139" t="str">
        <f>'C. Masterfiles'!C73</f>
        <v>T05</v>
      </c>
      <c r="D198" s="139" t="str">
        <f>'C. Masterfiles'!D73</f>
        <v>ISC-ISC</v>
      </c>
      <c r="E198" s="139" t="str">
        <f>'C. Masterfiles'!E73</f>
        <v>BHE</v>
      </c>
      <c r="F198" s="131"/>
      <c r="G198" s="333">
        <f>SUMPRODUCT(G$37:G$48,'3.Network Design Parameters'!$I$242:$I$253)</f>
        <v>1786.1698044444443</v>
      </c>
      <c r="H198" s="333">
        <f>SUMPRODUCT(H$37:H$48,'3.Network Design Parameters'!$I$242:$I$253)</f>
        <v>1410.120219259259</v>
      </c>
      <c r="I198" s="333">
        <f>SUMPRODUCT(I$37:I$48,'3.Network Design Parameters'!$I$242:$I$253)</f>
        <v>1533.2770702222224</v>
      </c>
      <c r="J198" s="333">
        <f>SUMPRODUCT(J$37:J$48,'3.Network Design Parameters'!$I$242:$I$253)</f>
        <v>1452.4361441185188</v>
      </c>
      <c r="K198" s="333">
        <f>SUMPRODUCT(K$37:K$48,'3.Network Design Parameters'!$I$242:$I$253)</f>
        <v>1347.288117191111</v>
      </c>
    </row>
    <row r="199" spans="2:11" ht="12.75" customHeight="1">
      <c r="B199" s="267"/>
      <c r="C199" s="139" t="str">
        <f>'C. Masterfiles'!C74</f>
        <v>T06</v>
      </c>
      <c r="D199" s="139" t="str">
        <f>'C. Masterfiles'!D74</f>
        <v>ISC-IN</v>
      </c>
      <c r="E199" s="139" t="str">
        <f>'C. Masterfiles'!E74</f>
        <v>BHE</v>
      </c>
      <c r="F199" s="131"/>
      <c r="G199" s="333">
        <f>SUMPRODUCT(G$37:G$48,'3.Network Design Parameters'!$J$242:$J$253)</f>
        <v>17.397518240259743</v>
      </c>
      <c r="H199" s="333">
        <f>SUMPRODUCT(H$37:H$48,'3.Network Design Parameters'!$J$242:$J$253)</f>
        <v>16.791730893339995</v>
      </c>
      <c r="I199" s="333">
        <f>SUMPRODUCT(I$37:I$48,'3.Network Design Parameters'!$J$242:$J$253)</f>
        <v>15.66928594059274</v>
      </c>
      <c r="J199" s="333">
        <f>SUMPRODUCT(J$37:J$48,'3.Network Design Parameters'!$J$242:$J$253)</f>
        <v>15.653011040371295</v>
      </c>
      <c r="K199" s="333">
        <f>SUMPRODUCT(K$37:K$48,'3.Network Design Parameters'!$J$242:$J$253)</f>
        <v>15.50621689937742</v>
      </c>
    </row>
    <row r="200" spans="2:11" ht="12.75" customHeight="1">
      <c r="B200" s="267"/>
      <c r="C200" s="139" t="str">
        <f>'C. Masterfiles'!C75</f>
        <v>T07</v>
      </c>
      <c r="D200" s="139" t="str">
        <f>'C. Masterfiles'!D75</f>
        <v>TS-IN</v>
      </c>
      <c r="E200" s="139" t="str">
        <f>'C. Masterfiles'!E75</f>
        <v>BHE</v>
      </c>
      <c r="F200" s="131"/>
      <c r="G200" s="333">
        <f>SUMPRODUCT(G$37:G$48,'3.Network Design Parameters'!$K$242:$K$253)</f>
        <v>52.19255472077922</v>
      </c>
      <c r="H200" s="333">
        <f>SUMPRODUCT(H$37:H$48,'3.Network Design Parameters'!$K$242:$K$253)</f>
        <v>50.37519268001998</v>
      </c>
      <c r="I200" s="333">
        <f>SUMPRODUCT(I$37:I$48,'3.Network Design Parameters'!$K$242:$K$253)</f>
        <v>47.007857821778224</v>
      </c>
      <c r="J200" s="333">
        <f>SUMPRODUCT(J$37:J$48,'3.Network Design Parameters'!$K$242:$K$253)</f>
        <v>46.95903312111389</v>
      </c>
      <c r="K200" s="333">
        <f>SUMPRODUCT(K$37:K$48,'3.Network Design Parameters'!$K$242:$K$253)</f>
        <v>46.51865069813226</v>
      </c>
    </row>
    <row r="201" spans="2:11" ht="12.75" customHeight="1">
      <c r="B201" s="267"/>
      <c r="C201" s="139" t="str">
        <f>'C. Masterfiles'!C76</f>
        <v>T08</v>
      </c>
      <c r="D201" s="139" t="str">
        <f>'C. Masterfiles'!D76</f>
        <v>TS-IGW</v>
      </c>
      <c r="E201" s="139" t="str">
        <f>'C. Masterfiles'!E76</f>
        <v>BHE</v>
      </c>
      <c r="F201" s="131"/>
      <c r="G201" s="333">
        <f>SUMPRODUCT(G$37:G$48,'3.Network Design Parameters'!$L$242:$L$253)</f>
        <v>2151.276278412698</v>
      </c>
      <c r="H201" s="333">
        <f>SUMPRODUCT(H$37:H$48,'3.Network Design Parameters'!$L$242:$L$253)</f>
        <v>1822.873012190476</v>
      </c>
      <c r="I201" s="333">
        <f>SUMPRODUCT(I$37:I$48,'3.Network Design Parameters'!$L$242:$L$253)</f>
        <v>2029.3066098455026</v>
      </c>
      <c r="J201" s="333">
        <f>SUMPRODUCT(J$37:J$48,'3.Network Design Parameters'!$L$242:$L$253)</f>
        <v>2041.743748921164</v>
      </c>
      <c r="K201" s="333">
        <f>SUMPRODUCT(K$37:K$48,'3.Network Design Parameters'!$L$242:$L$253)</f>
        <v>2035.9359782278093</v>
      </c>
    </row>
    <row r="202" spans="2:11" ht="12.75" customHeight="1">
      <c r="B202" s="267"/>
      <c r="C202" s="139" t="str">
        <f>'C. Masterfiles'!C77</f>
        <v>T09</v>
      </c>
      <c r="D202" s="139" t="str">
        <f>'C. Masterfiles'!D77</f>
        <v>LS-LS</v>
      </c>
      <c r="E202" s="139" t="str">
        <f>'C. Masterfiles'!E77</f>
        <v>BHE</v>
      </c>
      <c r="F202" s="131"/>
      <c r="G202" s="333">
        <f>SUMPRODUCT(G$37:G$48,'3.Network Design Parameters'!$M$242:$M$253)</f>
        <v>935.7191555555557</v>
      </c>
      <c r="H202" s="333">
        <f>SUMPRODUCT(H$37:H$48,'3.Network Design Parameters'!$M$242:$M$253)</f>
        <v>917.3141</v>
      </c>
      <c r="I202" s="333">
        <f>SUMPRODUCT(I$37:I$48,'3.Network Design Parameters'!$M$242:$M$253)</f>
        <v>895.4666666666667</v>
      </c>
      <c r="J202" s="333">
        <f>SUMPRODUCT(J$37:J$48,'3.Network Design Parameters'!$M$242:$M$253)</f>
        <v>879.659382222222</v>
      </c>
      <c r="K202" s="333">
        <f>SUMPRODUCT(K$37:K$48,'3.Network Design Parameters'!$M$242:$M$253)</f>
        <v>845.6516565333334</v>
      </c>
    </row>
    <row r="203" spans="2:11" ht="15.75">
      <c r="B203" s="267"/>
      <c r="C203" s="13"/>
      <c r="D203" s="17"/>
      <c r="E203" s="17"/>
      <c r="F203" s="133"/>
      <c r="G203" s="134"/>
      <c r="H203" s="134"/>
      <c r="I203" s="134"/>
      <c r="J203" s="134"/>
      <c r="K203" s="134"/>
    </row>
    <row r="204" spans="2:4" ht="15.75">
      <c r="B204" s="267"/>
      <c r="C204" s="29"/>
      <c r="D204" s="28"/>
    </row>
    <row r="205" spans="3:11" ht="12.75">
      <c r="C205" s="135"/>
      <c r="D205" s="509" t="s">
        <v>695</v>
      </c>
      <c r="E205" s="17" t="s">
        <v>652</v>
      </c>
      <c r="F205" s="18"/>
      <c r="G205" s="92">
        <f>'C. Masterfiles'!E$99</f>
        <v>2008</v>
      </c>
      <c r="H205" s="92">
        <f>'C. Masterfiles'!F$99</f>
        <v>2009</v>
      </c>
      <c r="I205" s="92">
        <f>'C. Masterfiles'!G$99</f>
        <v>2010</v>
      </c>
      <c r="J205" s="92">
        <f>'C. Masterfiles'!H$99</f>
        <v>2011</v>
      </c>
      <c r="K205" s="92">
        <f>'C. Masterfiles'!I$99</f>
        <v>2012</v>
      </c>
    </row>
    <row r="206" spans="3:11" ht="12.75">
      <c r="C206" s="139" t="str">
        <f aca="true" t="shared" si="14" ref="C206:D214">C194</f>
        <v>T01</v>
      </c>
      <c r="D206" s="139" t="str">
        <f t="shared" si="14"/>
        <v>Rau-TS</v>
      </c>
      <c r="E206" s="556" t="s">
        <v>960</v>
      </c>
      <c r="F206" s="131"/>
      <c r="G206" s="333">
        <f>G194/30/'3.Network Design Parameters'!$E81</f>
        <v>1174.8371943110844</v>
      </c>
      <c r="H206" s="333">
        <f>H194/30/'3.Network Design Parameters'!$E81</f>
        <v>1107.8860024978364</v>
      </c>
      <c r="I206" s="333">
        <f>I194/30/'3.Network Design Parameters'!$E81</f>
        <v>1051.5392925668145</v>
      </c>
      <c r="J206" s="333">
        <f>J194/30/'3.Network Design Parameters'!$E81</f>
        <v>1018.0958729429481</v>
      </c>
      <c r="K206" s="333">
        <f>K194/30/'3.Network Design Parameters'!$E81</f>
        <v>969.5844154975092</v>
      </c>
    </row>
    <row r="207" spans="3:11" ht="12.75">
      <c r="C207" s="139" t="str">
        <f t="shared" si="14"/>
        <v>T02</v>
      </c>
      <c r="D207" s="139" t="str">
        <f t="shared" si="14"/>
        <v>LS-TS</v>
      </c>
      <c r="E207" s="556" t="s">
        <v>960</v>
      </c>
      <c r="F207" s="131"/>
      <c r="G207" s="333">
        <f>G195/30/'3.Network Design Parameters'!$E82</f>
        <v>1174.8371943110844</v>
      </c>
      <c r="H207" s="333">
        <f>H195/30/'3.Network Design Parameters'!$E82</f>
        <v>1107.8860024978364</v>
      </c>
      <c r="I207" s="333">
        <f>I195/30/'3.Network Design Parameters'!$E82</f>
        <v>1051.5392925668145</v>
      </c>
      <c r="J207" s="333">
        <f>J195/30/'3.Network Design Parameters'!$E82</f>
        <v>1018.0958729429481</v>
      </c>
      <c r="K207" s="333">
        <f>K195/30/'3.Network Design Parameters'!$E82</f>
        <v>969.5844154975092</v>
      </c>
    </row>
    <row r="208" spans="3:11" ht="12.75">
      <c r="C208" s="139" t="str">
        <f t="shared" si="14"/>
        <v>T03</v>
      </c>
      <c r="D208" s="139" t="str">
        <f t="shared" si="14"/>
        <v>TS-TS</v>
      </c>
      <c r="E208" s="556" t="s">
        <v>960</v>
      </c>
      <c r="F208" s="131"/>
      <c r="G208" s="333">
        <f>G196/30/'3.Network Design Parameters'!$E83</f>
        <v>311.90638518518523</v>
      </c>
      <c r="H208" s="333">
        <f>H196/30/'3.Network Design Parameters'!$E83</f>
        <v>305.7713666666666</v>
      </c>
      <c r="I208" s="333">
        <f>I196/30/'3.Network Design Parameters'!$E83</f>
        <v>298.4888888888888</v>
      </c>
      <c r="J208" s="333">
        <f>J196/30/'3.Network Design Parameters'!$E83</f>
        <v>293.21979407407395</v>
      </c>
      <c r="K208" s="333">
        <f>K196/30/'3.Network Design Parameters'!$E83</f>
        <v>281.88388551111115</v>
      </c>
    </row>
    <row r="209" spans="3:11" ht="12.75">
      <c r="C209" s="139" t="str">
        <f t="shared" si="14"/>
        <v>T04</v>
      </c>
      <c r="D209" s="139" t="str">
        <f t="shared" si="14"/>
        <v>TS-ISC</v>
      </c>
      <c r="E209" s="556" t="s">
        <v>960</v>
      </c>
      <c r="F209" s="131"/>
      <c r="G209" s="333">
        <f>G197/30/'3.Network Design Parameters'!$E84</f>
        <v>896.3342107083372</v>
      </c>
      <c r="H209" s="333">
        <f>H197/30/'3.Network Design Parameters'!$E84</f>
        <v>764.4930718578548</v>
      </c>
      <c r="I209" s="333">
        <f>I197/30/'3.Network Design Parameters'!$E84</f>
        <v>685.883962146277</v>
      </c>
      <c r="J209" s="333">
        <f>J197/30/'3.Network Design Parameters'!$E84</f>
        <v>631.7706797369168</v>
      </c>
      <c r="K209" s="333">
        <f>K197/30/'3.Network Design Parameters'!$E84</f>
        <v>576.5891639039588</v>
      </c>
    </row>
    <row r="210" spans="3:11" ht="12.75">
      <c r="C210" s="139" t="str">
        <f t="shared" si="14"/>
        <v>T05</v>
      </c>
      <c r="D210" s="139" t="str">
        <f t="shared" si="14"/>
        <v>ISC-ISC</v>
      </c>
      <c r="E210" s="556" t="s">
        <v>960</v>
      </c>
      <c r="F210" s="131"/>
      <c r="G210" s="333">
        <f>G198/30/'3.Network Design Parameters'!$E85</f>
        <v>85.05570497354498</v>
      </c>
      <c r="H210" s="333">
        <f>H198/30/'3.Network Design Parameters'!$E85</f>
        <v>67.14858186948852</v>
      </c>
      <c r="I210" s="333">
        <f>I198/30/'3.Network Design Parameters'!$E85</f>
        <v>73.01319382010583</v>
      </c>
      <c r="J210" s="333">
        <f>J198/30/'3.Network Design Parameters'!$E85</f>
        <v>69.16362591040567</v>
      </c>
      <c r="K210" s="333">
        <f>K198/30/'3.Network Design Parameters'!$E85</f>
        <v>64.15657700910053</v>
      </c>
    </row>
    <row r="211" spans="3:11" ht="12.75">
      <c r="C211" s="139" t="str">
        <f t="shared" si="14"/>
        <v>T06</v>
      </c>
      <c r="D211" s="139" t="str">
        <f t="shared" si="14"/>
        <v>ISC-IN</v>
      </c>
      <c r="E211" s="556" t="s">
        <v>960</v>
      </c>
      <c r="F211" s="131"/>
      <c r="G211" s="333">
        <f>G199/30/'3.Network Design Parameters'!$E86</f>
        <v>3.866115164502165</v>
      </c>
      <c r="H211" s="333">
        <f>H199/30/'3.Network Design Parameters'!$E86</f>
        <v>3.731495754075555</v>
      </c>
      <c r="I211" s="333">
        <f>I199/30/'3.Network Design Parameters'!$E86</f>
        <v>3.4820635423539423</v>
      </c>
      <c r="J211" s="333">
        <f>J199/30/'3.Network Design Parameters'!$E86</f>
        <v>3.478446897860288</v>
      </c>
      <c r="K211" s="333">
        <f>K199/30/'3.Network Design Parameters'!$E86</f>
        <v>3.445825977639427</v>
      </c>
    </row>
    <row r="212" spans="3:11" ht="12.75">
      <c r="C212" s="139" t="str">
        <f t="shared" si="14"/>
        <v>T07</v>
      </c>
      <c r="D212" s="139" t="str">
        <f t="shared" si="14"/>
        <v>TS-IN</v>
      </c>
      <c r="E212" s="556" t="s">
        <v>960</v>
      </c>
      <c r="F212" s="131"/>
      <c r="G212" s="333">
        <f>G200/30/'3.Network Design Parameters'!$E87</f>
        <v>11.598345493506493</v>
      </c>
      <c r="H212" s="333">
        <f>H200/30/'3.Network Design Parameters'!$E87</f>
        <v>11.194487262226662</v>
      </c>
      <c r="I212" s="333">
        <f>I200/30/'3.Network Design Parameters'!$E87</f>
        <v>10.446190627061828</v>
      </c>
      <c r="J212" s="333">
        <f>J200/30/'3.Network Design Parameters'!$E87</f>
        <v>10.435340693580864</v>
      </c>
      <c r="K212" s="333">
        <f>K200/30/'3.Network Design Parameters'!$E87</f>
        <v>10.337477932918281</v>
      </c>
    </row>
    <row r="213" spans="3:11" ht="12.75">
      <c r="C213" s="139" t="str">
        <f t="shared" si="14"/>
        <v>T08</v>
      </c>
      <c r="D213" s="139" t="str">
        <f t="shared" si="14"/>
        <v>TS-IGW</v>
      </c>
      <c r="E213" s="556" t="s">
        <v>960</v>
      </c>
      <c r="F213" s="131"/>
      <c r="G213" s="333">
        <f>G201/30/'3.Network Design Parameters'!$E88</f>
        <v>102.44172754346181</v>
      </c>
      <c r="H213" s="333">
        <f>H201/30/'3.Network Design Parameters'!$E88</f>
        <v>86.80347677097505</v>
      </c>
      <c r="I213" s="333">
        <f>I201/30/'3.Network Design Parameters'!$E88</f>
        <v>96.63364808788107</v>
      </c>
      <c r="J213" s="333">
        <f>J201/30/'3.Network Design Parameters'!$E88</f>
        <v>97.22589280576972</v>
      </c>
      <c r="K213" s="333">
        <f>K201/30/'3.Network Design Parameters'!$E88</f>
        <v>96.94933229656236</v>
      </c>
    </row>
    <row r="214" spans="3:11" ht="12.75">
      <c r="C214" s="139" t="str">
        <f t="shared" si="14"/>
        <v>T09</v>
      </c>
      <c r="D214" s="139" t="str">
        <f t="shared" si="14"/>
        <v>LS-LS</v>
      </c>
      <c r="E214" s="556" t="s">
        <v>960</v>
      </c>
      <c r="F214" s="131"/>
      <c r="G214" s="333">
        <f>G202/30/'3.Network Design Parameters'!$E89</f>
        <v>44.55805502645504</v>
      </c>
      <c r="H214" s="333">
        <f>H202/30/'3.Network Design Parameters'!$E89</f>
        <v>43.68162380952381</v>
      </c>
      <c r="I214" s="333">
        <f>I202/30/'3.Network Design Parameters'!$E89</f>
        <v>42.641269841269846</v>
      </c>
      <c r="J214" s="333">
        <f>J202/30/'3.Network Design Parameters'!$E89</f>
        <v>41.88854201058201</v>
      </c>
      <c r="K214" s="333">
        <f>K202/30/'3.Network Design Parameters'!$E89</f>
        <v>40.26912650158731</v>
      </c>
    </row>
    <row r="215" spans="3:11" ht="12.75">
      <c r="C215" s="13"/>
      <c r="D215" s="17"/>
      <c r="E215" s="17"/>
      <c r="F215" s="133"/>
      <c r="G215" s="134"/>
      <c r="H215" s="134"/>
      <c r="I215" s="134"/>
      <c r="J215" s="134"/>
      <c r="K215" s="134"/>
    </row>
    <row r="218" spans="3:11" ht="25.5" customHeight="1">
      <c r="C218" s="143"/>
      <c r="D218" s="17" t="s">
        <v>959</v>
      </c>
      <c r="E218" s="17" t="s">
        <v>652</v>
      </c>
      <c r="F218" s="18"/>
      <c r="G218" s="92">
        <f>'C. Masterfiles'!E$99</f>
        <v>2008</v>
      </c>
      <c r="H218" s="92">
        <f>'C. Masterfiles'!F$99</f>
        <v>2009</v>
      </c>
      <c r="I218" s="92">
        <f>'C. Masterfiles'!G$99</f>
        <v>2010</v>
      </c>
      <c r="J218" s="92">
        <f>'C. Masterfiles'!H$99</f>
        <v>2011</v>
      </c>
      <c r="K218" s="92">
        <f>'C. Masterfiles'!I$99</f>
        <v>2012</v>
      </c>
    </row>
    <row r="219" spans="3:11" ht="12.75">
      <c r="C219" s="351" t="str">
        <f>'C. Masterfiles'!C69</f>
        <v>T01</v>
      </c>
      <c r="D219" s="351" t="str">
        <f>'C. Masterfiles'!D69</f>
        <v>Rau-TS</v>
      </c>
      <c r="E219" s="37" t="s">
        <v>960</v>
      </c>
      <c r="F219" s="131"/>
      <c r="G219" s="333">
        <f aca="true" t="shared" si="15" ref="G219:K227">G206*G94</f>
        <v>1352.1094078657193</v>
      </c>
      <c r="H219" s="333">
        <f t="shared" si="15"/>
        <v>1301.3177762441596</v>
      </c>
      <c r="I219" s="333">
        <f t="shared" si="15"/>
        <v>1254.1420183332173</v>
      </c>
      <c r="J219" s="333">
        <f t="shared" si="15"/>
        <v>1202.2352822716853</v>
      </c>
      <c r="K219" s="333">
        <f t="shared" si="15"/>
        <v>1129.9553927545858</v>
      </c>
    </row>
    <row r="220" spans="3:11" ht="12.75">
      <c r="C220" s="351" t="str">
        <f>'C. Masterfiles'!C70</f>
        <v>T02</v>
      </c>
      <c r="D220" s="351" t="str">
        <f>'C. Masterfiles'!D70</f>
        <v>LS-TS</v>
      </c>
      <c r="E220" s="37" t="str">
        <f aca="true" t="shared" si="16" ref="E220:E227">E219</f>
        <v># of E1s</v>
      </c>
      <c r="F220" s="131"/>
      <c r="G220" s="333">
        <f t="shared" si="15"/>
        <v>1230.4195611578045</v>
      </c>
      <c r="H220" s="333">
        <f t="shared" si="15"/>
        <v>1184.1991763821854</v>
      </c>
      <c r="I220" s="333">
        <f t="shared" si="15"/>
        <v>1141.269236683228</v>
      </c>
      <c r="J220" s="333">
        <f t="shared" si="15"/>
        <v>1094.0341068672337</v>
      </c>
      <c r="K220" s="333">
        <f t="shared" si="15"/>
        <v>1028.259407406673</v>
      </c>
    </row>
    <row r="221" spans="3:11" ht="12.75">
      <c r="C221" s="351" t="str">
        <f>'C. Masterfiles'!C71</f>
        <v>T03</v>
      </c>
      <c r="D221" s="351" t="str">
        <f>'C. Masterfiles'!D71</f>
        <v>TS-TS</v>
      </c>
      <c r="E221" s="37" t="str">
        <f t="shared" si="16"/>
        <v># of E1s</v>
      </c>
      <c r="F221" s="131"/>
      <c r="G221" s="333">
        <f t="shared" si="15"/>
        <v>466.661276789463</v>
      </c>
      <c r="H221" s="333">
        <f t="shared" si="15"/>
        <v>466.90492362616124</v>
      </c>
      <c r="I221" s="333">
        <f t="shared" si="15"/>
        <v>462.7993440374211</v>
      </c>
      <c r="J221" s="333">
        <f t="shared" si="15"/>
        <v>450.1294511100109</v>
      </c>
      <c r="K221" s="333">
        <f t="shared" si="15"/>
        <v>427.0603723767556</v>
      </c>
    </row>
    <row r="222" spans="3:11" ht="12.75">
      <c r="C222" s="351" t="str">
        <f>'C. Masterfiles'!C72</f>
        <v>T04</v>
      </c>
      <c r="D222" s="351" t="str">
        <f>'C. Masterfiles'!D72</f>
        <v>TS-ISC</v>
      </c>
      <c r="E222" s="37" t="str">
        <f t="shared" si="16"/>
        <v># of E1s</v>
      </c>
      <c r="F222" s="131"/>
      <c r="G222" s="333">
        <f t="shared" si="15"/>
        <v>1341.0577245825991</v>
      </c>
      <c r="H222" s="333">
        <f t="shared" si="15"/>
        <v>1167.3610358606322</v>
      </c>
      <c r="I222" s="333">
        <f t="shared" si="15"/>
        <v>1063.4454399582191</v>
      </c>
      <c r="J222" s="333">
        <f t="shared" si="15"/>
        <v>969.8478583118315</v>
      </c>
      <c r="K222" s="333">
        <f t="shared" si="15"/>
        <v>873.5454408780694</v>
      </c>
    </row>
    <row r="223" spans="3:11" ht="12.75">
      <c r="C223" s="351" t="str">
        <f>'C. Masterfiles'!C73</f>
        <v>T05</v>
      </c>
      <c r="D223" s="351" t="str">
        <f>'C. Masterfiles'!D73</f>
        <v>ISC-ISC</v>
      </c>
      <c r="E223" s="37" t="str">
        <f t="shared" si="16"/>
        <v># of E1s</v>
      </c>
      <c r="F223" s="131"/>
      <c r="G223" s="333">
        <f t="shared" si="15"/>
        <v>127.25678526143766</v>
      </c>
      <c r="H223" s="333">
        <f t="shared" si="15"/>
        <v>102.534137944828</v>
      </c>
      <c r="I223" s="333">
        <f t="shared" si="15"/>
        <v>113.20507886174757</v>
      </c>
      <c r="J223" s="333">
        <f t="shared" si="15"/>
        <v>106.174909051209</v>
      </c>
      <c r="K223" s="333">
        <f t="shared" si="15"/>
        <v>97.19864481875278</v>
      </c>
    </row>
    <row r="224" spans="3:11" ht="12.75">
      <c r="C224" s="351" t="str">
        <f>'C. Masterfiles'!C74</f>
        <v>T06</v>
      </c>
      <c r="D224" s="351" t="str">
        <f>'C. Masterfiles'!D74</f>
        <v>ISC-IN</v>
      </c>
      <c r="E224" s="37" t="str">
        <f t="shared" si="16"/>
        <v># of E1s</v>
      </c>
      <c r="F224" s="131"/>
      <c r="G224" s="333">
        <f t="shared" si="15"/>
        <v>5.784319669539674</v>
      </c>
      <c r="H224" s="333">
        <f t="shared" si="15"/>
        <v>5.697896958309021</v>
      </c>
      <c r="I224" s="333">
        <f t="shared" si="15"/>
        <v>5.398849951489805</v>
      </c>
      <c r="J224" s="333">
        <f t="shared" si="15"/>
        <v>5.339855714016454</v>
      </c>
      <c r="K224" s="333">
        <f t="shared" si="15"/>
        <v>5.220503195803244</v>
      </c>
    </row>
    <row r="225" spans="3:11" ht="12.75">
      <c r="C225" s="351" t="str">
        <f>'C. Masterfiles'!C75</f>
        <v>T07</v>
      </c>
      <c r="D225" s="351" t="str">
        <f>'C. Masterfiles'!D75</f>
        <v>TS-IN</v>
      </c>
      <c r="E225" s="37" t="str">
        <f t="shared" si="16"/>
        <v># of E1s</v>
      </c>
      <c r="F225" s="131"/>
      <c r="G225" s="333">
        <f t="shared" si="15"/>
        <v>17.35295900861902</v>
      </c>
      <c r="H225" s="333">
        <f t="shared" si="15"/>
        <v>17.09369087492706</v>
      </c>
      <c r="I225" s="333">
        <f t="shared" si="15"/>
        <v>16.196549854469417</v>
      </c>
      <c r="J225" s="333">
        <f t="shared" si="15"/>
        <v>16.01956714204936</v>
      </c>
      <c r="K225" s="333">
        <f t="shared" si="15"/>
        <v>15.661509587409732</v>
      </c>
    </row>
    <row r="226" spans="3:11" ht="12.75">
      <c r="C226" s="351" t="str">
        <f>'C. Masterfiles'!C76</f>
        <v>T08</v>
      </c>
      <c r="D226" s="351" t="str">
        <f>'C. Masterfiles'!D76</f>
        <v>TS-IGW</v>
      </c>
      <c r="E226" s="37" t="str">
        <f t="shared" si="16"/>
        <v># of E1s</v>
      </c>
      <c r="F226" s="131"/>
      <c r="G226" s="333">
        <f t="shared" si="15"/>
        <v>99.80308567770591</v>
      </c>
      <c r="H226" s="333">
        <f t="shared" si="15"/>
        <v>86.30944730947081</v>
      </c>
      <c r="I226" s="333">
        <f t="shared" si="15"/>
        <v>97.56240922967383</v>
      </c>
      <c r="J226" s="333">
        <f t="shared" si="15"/>
        <v>97.18867474166473</v>
      </c>
      <c r="K226" s="333">
        <f t="shared" si="15"/>
        <v>95.64305138183212</v>
      </c>
    </row>
    <row r="227" spans="3:11" ht="12.75">
      <c r="C227" s="351" t="str">
        <f>'C. Masterfiles'!C77</f>
        <v>T09</v>
      </c>
      <c r="D227" s="351" t="str">
        <f>'C. Masterfiles'!D77</f>
        <v>LS-LS</v>
      </c>
      <c r="E227" s="37" t="str">
        <f t="shared" si="16"/>
        <v># of E1s</v>
      </c>
      <c r="F227" s="131"/>
      <c r="G227" s="333">
        <f t="shared" si="15"/>
        <v>41.66618542763063</v>
      </c>
      <c r="H227" s="333">
        <f t="shared" si="15"/>
        <v>41.68793960947869</v>
      </c>
      <c r="I227" s="333">
        <f t="shared" si="15"/>
        <v>41.32137000334119</v>
      </c>
      <c r="J227" s="333">
        <f t="shared" si="15"/>
        <v>40.190129563393846</v>
      </c>
      <c r="K227" s="333">
        <f t="shared" si="15"/>
        <v>38.13039039078175</v>
      </c>
    </row>
    <row r="228" spans="3:12" ht="12.75">
      <c r="C228" s="54"/>
      <c r="D228" s="54"/>
      <c r="E228" s="54"/>
      <c r="F228" s="54"/>
      <c r="G228" s="54"/>
      <c r="H228" s="54"/>
      <c r="I228" s="54"/>
      <c r="J228" s="54"/>
      <c r="K228" s="54"/>
      <c r="L228" s="54"/>
    </row>
    <row r="229" spans="3:12" ht="12.75"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3:11" ht="25.5" customHeight="1">
      <c r="C230" s="143"/>
      <c r="D230" s="17" t="s">
        <v>122</v>
      </c>
      <c r="E230" s="17" t="s">
        <v>652</v>
      </c>
      <c r="F230" s="18"/>
      <c r="G230" s="92">
        <f>'C. Masterfiles'!E$99</f>
        <v>2008</v>
      </c>
      <c r="H230" s="92">
        <f>'C. Masterfiles'!F$99</f>
        <v>2009</v>
      </c>
      <c r="I230" s="92">
        <f>'C. Masterfiles'!G$99</f>
        <v>2010</v>
      </c>
      <c r="J230" s="92">
        <f>'C. Masterfiles'!H$99</f>
        <v>2011</v>
      </c>
      <c r="K230" s="92">
        <f>'C. Masterfiles'!I$99</f>
        <v>2012</v>
      </c>
    </row>
    <row r="231" spans="3:12" ht="12.75">
      <c r="C231" s="554" t="str">
        <f>C219</f>
        <v>T01</v>
      </c>
      <c r="D231" s="554" t="str">
        <f>D219</f>
        <v>Rau-TS</v>
      </c>
      <c r="E231" s="555" t="s">
        <v>123</v>
      </c>
      <c r="F231" s="131"/>
      <c r="G231" s="333">
        <f>ROUNDUP(G219*'3.Network Design Parameters'!$E107/'3.Network Design Parameters'!$E$92+G219*'3.Network Design Parameters'!$F107/'3.Network Design Parameters'!$F$92+G219*'3.Network Design Parameters'!$G107/'3.Network Design Parameters'!$G$92+G219*'3.Network Design Parameters'!$H107/'3.Network Design Parameters'!$H$92+G219*'3.Network Design Parameters'!$I107/'3.Network Design Parameters'!$I$92+G219*'3.Network Design Parameters'!$J107/'3.Network Design Parameters'!$J$92+G219*'3.Network Design Parameters'!$K107/'3.Network Design Parameters'!$K$92,0)*'1.Subscribers'!G$186/'1.Subscribers'!G$199</f>
        <v>1150</v>
      </c>
      <c r="H231" s="333">
        <f>ROUNDUP(H219*'3.Network Design Parameters'!$E107/'3.Network Design Parameters'!$E$92+H219*'3.Network Design Parameters'!$F107/'3.Network Design Parameters'!$F$92+H219*'3.Network Design Parameters'!$G107/'3.Network Design Parameters'!$G$92+H219*'3.Network Design Parameters'!$H107/'3.Network Design Parameters'!$H$92+H219*'3.Network Design Parameters'!$I107/'3.Network Design Parameters'!$I$92+H219*'3.Network Design Parameters'!$J107/'3.Network Design Parameters'!$J$92+H219*'3.Network Design Parameters'!$K107/'3.Network Design Parameters'!$K$92,0)*'1.Subscribers'!H186/'1.Subscribers'!H199</f>
        <v>1107</v>
      </c>
      <c r="I231" s="333">
        <f>ROUNDUP(I219*'3.Network Design Parameters'!$E107/'3.Network Design Parameters'!$E$92+I219*'3.Network Design Parameters'!$F107/'3.Network Design Parameters'!$F$92+I219*'3.Network Design Parameters'!$G107/'3.Network Design Parameters'!$G$92+I219*'3.Network Design Parameters'!$H107/'3.Network Design Parameters'!$H$92+I219*'3.Network Design Parameters'!$I107/'3.Network Design Parameters'!$I$92+I219*'3.Network Design Parameters'!$J107/'3.Network Design Parameters'!$J$92+I219*'3.Network Design Parameters'!$K107/'3.Network Design Parameters'!$K$92,0)*'1.Subscribers'!I186/'1.Subscribers'!I199</f>
        <v>1067</v>
      </c>
      <c r="J231" s="333">
        <f>ROUNDUP(J219*'3.Network Design Parameters'!$E107/'3.Network Design Parameters'!$E$92+J219*'3.Network Design Parameters'!$F107/'3.Network Design Parameters'!$F$92+J219*'3.Network Design Parameters'!$G107/'3.Network Design Parameters'!$G$92+J219*'3.Network Design Parameters'!$H107/'3.Network Design Parameters'!$H$92+J219*'3.Network Design Parameters'!$I107/'3.Network Design Parameters'!$I$92+J219*'3.Network Design Parameters'!$J107/'3.Network Design Parameters'!$J$92+J219*'3.Network Design Parameters'!$K107/'3.Network Design Parameters'!$K$92,0)*'1.Subscribers'!J186/'1.Subscribers'!J199</f>
        <v>1022</v>
      </c>
      <c r="K231" s="333">
        <f>ROUNDUP(K219*'3.Network Design Parameters'!$E107/'3.Network Design Parameters'!$E$92+K219*'3.Network Design Parameters'!$F107/'3.Network Design Parameters'!$F$92+K219*'3.Network Design Parameters'!$G107/'3.Network Design Parameters'!$G$92+K219*'3.Network Design Parameters'!$H107/'3.Network Design Parameters'!$H$92+K219*'3.Network Design Parameters'!$I107/'3.Network Design Parameters'!$I$92+K219*'3.Network Design Parameters'!$J107/'3.Network Design Parameters'!$J$92+K219*'3.Network Design Parameters'!$K107/'3.Network Design Parameters'!$K$92,0)*'1.Subscribers'!K186/'1.Subscribers'!K199</f>
        <v>961</v>
      </c>
      <c r="L231" s="54"/>
    </row>
    <row r="232" spans="3:12" ht="12.75">
      <c r="C232" s="554" t="str">
        <f aca="true" t="shared" si="17" ref="C232:D239">C220</f>
        <v>T02</v>
      </c>
      <c r="D232" s="554" t="str">
        <f t="shared" si="17"/>
        <v>LS-TS</v>
      </c>
      <c r="E232" s="555" t="s">
        <v>123</v>
      </c>
      <c r="F232" s="131"/>
      <c r="G232" s="333">
        <f>ROUNDUP(G220*'3.Network Design Parameters'!$E108/'3.Network Design Parameters'!$E$92+G220*'3.Network Design Parameters'!$F108/'3.Network Design Parameters'!$F$92+G220*'3.Network Design Parameters'!$G108/'3.Network Design Parameters'!$G$92+G220*'3.Network Design Parameters'!$H108/'3.Network Design Parameters'!$H$92+G220*'3.Network Design Parameters'!$I108/'3.Network Design Parameters'!$I$92+G220*'3.Network Design Parameters'!$J108/'3.Network Design Parameters'!$J$92+G220*'3.Network Design Parameters'!$K108/'3.Network Design Parameters'!$K$92,0)*'1.Subscribers'!G$186/'1.Subscribers'!G$199</f>
        <v>1147</v>
      </c>
      <c r="H232" s="333">
        <f>ROUNDUP(H220*'3.Network Design Parameters'!$E108/'3.Network Design Parameters'!$E$92+H220*'3.Network Design Parameters'!$F108/'3.Network Design Parameters'!$F$92+H220*'3.Network Design Parameters'!$G108/'3.Network Design Parameters'!$G$92+H220*'3.Network Design Parameters'!$H108/'3.Network Design Parameters'!$H$92+H220*'3.Network Design Parameters'!$I108/'3.Network Design Parameters'!$I$92+H220*'3.Network Design Parameters'!$J108/'3.Network Design Parameters'!$J$92+H220*'3.Network Design Parameters'!$K108/'3.Network Design Parameters'!$K$92,0)*'1.Subscribers'!H$186/'1.Subscribers'!H$199</f>
        <v>1104</v>
      </c>
      <c r="I232" s="333">
        <f>ROUNDUP(I220*'3.Network Design Parameters'!$E108/'3.Network Design Parameters'!$E$92+I220*'3.Network Design Parameters'!$F108/'3.Network Design Parameters'!$F$92+I220*'3.Network Design Parameters'!$G108/'3.Network Design Parameters'!$G$92+I220*'3.Network Design Parameters'!$H108/'3.Network Design Parameters'!$H$92+I220*'3.Network Design Parameters'!$I108/'3.Network Design Parameters'!$I$92+I220*'3.Network Design Parameters'!$J108/'3.Network Design Parameters'!$J$92+I220*'3.Network Design Parameters'!$K108/'3.Network Design Parameters'!$K$92,0)*'1.Subscribers'!I$186/'1.Subscribers'!I$199</f>
        <v>1064</v>
      </c>
      <c r="J232" s="333">
        <f>ROUNDUP(J220*'3.Network Design Parameters'!$E108/'3.Network Design Parameters'!$E$92+J220*'3.Network Design Parameters'!$F108/'3.Network Design Parameters'!$F$92+J220*'3.Network Design Parameters'!$G108/'3.Network Design Parameters'!$G$92+J220*'3.Network Design Parameters'!$H108/'3.Network Design Parameters'!$H$92+J220*'3.Network Design Parameters'!$I108/'3.Network Design Parameters'!$I$92+J220*'3.Network Design Parameters'!$J108/'3.Network Design Parameters'!$J$92+J220*'3.Network Design Parameters'!$K108/'3.Network Design Parameters'!$K$92,0)*'1.Subscribers'!J$186/'1.Subscribers'!J$199</f>
        <v>1020</v>
      </c>
      <c r="K232" s="333">
        <f>ROUNDUP(K220*'3.Network Design Parameters'!$E108/'3.Network Design Parameters'!$E$92+K220*'3.Network Design Parameters'!$F108/'3.Network Design Parameters'!$F$92+K220*'3.Network Design Parameters'!$G108/'3.Network Design Parameters'!$G$92+K220*'3.Network Design Parameters'!$H108/'3.Network Design Parameters'!$H$92+K220*'3.Network Design Parameters'!$I108/'3.Network Design Parameters'!$I$92+K220*'3.Network Design Parameters'!$J108/'3.Network Design Parameters'!$J$92+K220*'3.Network Design Parameters'!$K108/'3.Network Design Parameters'!$K$92,0)*'1.Subscribers'!K$186/'1.Subscribers'!K$199</f>
        <v>959</v>
      </c>
      <c r="L232" s="54"/>
    </row>
    <row r="233" spans="3:12" ht="12.75">
      <c r="C233" s="554" t="str">
        <f t="shared" si="17"/>
        <v>T03</v>
      </c>
      <c r="D233" s="554" t="str">
        <f t="shared" si="17"/>
        <v>TS-TS</v>
      </c>
      <c r="E233" s="555" t="s">
        <v>123</v>
      </c>
      <c r="F233" s="131"/>
      <c r="G233" s="333">
        <f>ROUNDUP(G221*'3.Network Design Parameters'!$E109/'3.Network Design Parameters'!$E$92+G221*'3.Network Design Parameters'!$F109/'3.Network Design Parameters'!$F$92+G221*'3.Network Design Parameters'!$G109/'3.Network Design Parameters'!$G$92+G221*'3.Network Design Parameters'!$H109/'3.Network Design Parameters'!$H$92+G221*'3.Network Design Parameters'!$I109/'3.Network Design Parameters'!$I$92+G221*'3.Network Design Parameters'!$J109/'3.Network Design Parameters'!$J$92+G221*'3.Network Design Parameters'!$K109/'3.Network Design Parameters'!$K$92,0)*'1.Subscribers'!G$186/'1.Subscribers'!G$199</f>
        <v>117</v>
      </c>
      <c r="H233" s="333">
        <f>ROUNDUP(H221*'3.Network Design Parameters'!$E109/'3.Network Design Parameters'!$E$92+H221*'3.Network Design Parameters'!$F109/'3.Network Design Parameters'!$F$92+H221*'3.Network Design Parameters'!$G109/'3.Network Design Parameters'!$G$92+H221*'3.Network Design Parameters'!$H109/'3.Network Design Parameters'!$H$92+H221*'3.Network Design Parameters'!$I109/'3.Network Design Parameters'!$I$92+H221*'3.Network Design Parameters'!$J109/'3.Network Design Parameters'!$J$92+H221*'3.Network Design Parameters'!$K109/'3.Network Design Parameters'!$K$92,0)*'1.Subscribers'!H$186/'1.Subscribers'!H$199</f>
        <v>117</v>
      </c>
      <c r="I233" s="333">
        <f>ROUNDUP(I221*'3.Network Design Parameters'!$E109/'3.Network Design Parameters'!$E$92+I221*'3.Network Design Parameters'!$F109/'3.Network Design Parameters'!$F$92+I221*'3.Network Design Parameters'!$G109/'3.Network Design Parameters'!$G$92+I221*'3.Network Design Parameters'!$H109/'3.Network Design Parameters'!$H$92+I221*'3.Network Design Parameters'!$I109/'3.Network Design Parameters'!$I$92+I221*'3.Network Design Parameters'!$J109/'3.Network Design Parameters'!$J$92+I221*'3.Network Design Parameters'!$K109/'3.Network Design Parameters'!$K$92,0)*'1.Subscribers'!I$186/'1.Subscribers'!I$199</f>
        <v>116</v>
      </c>
      <c r="J233" s="333">
        <f>ROUNDUP(J221*'3.Network Design Parameters'!$E109/'3.Network Design Parameters'!$E$92+J221*'3.Network Design Parameters'!$F109/'3.Network Design Parameters'!$F$92+J221*'3.Network Design Parameters'!$G109/'3.Network Design Parameters'!$G$92+J221*'3.Network Design Parameters'!$H109/'3.Network Design Parameters'!$H$92+J221*'3.Network Design Parameters'!$I109/'3.Network Design Parameters'!$I$92+J221*'3.Network Design Parameters'!$J109/'3.Network Design Parameters'!$J$92+J221*'3.Network Design Parameters'!$K109/'3.Network Design Parameters'!$K$92,0)*'1.Subscribers'!J$186/'1.Subscribers'!J$199</f>
        <v>113</v>
      </c>
      <c r="K233" s="333">
        <f>ROUNDUP(K221*'3.Network Design Parameters'!$E109/'3.Network Design Parameters'!$E$92+K221*'3.Network Design Parameters'!$F109/'3.Network Design Parameters'!$F$92+K221*'3.Network Design Parameters'!$G109/'3.Network Design Parameters'!$G$92+K221*'3.Network Design Parameters'!$H109/'3.Network Design Parameters'!$H$92+K221*'3.Network Design Parameters'!$I109/'3.Network Design Parameters'!$I$92+K221*'3.Network Design Parameters'!$J109/'3.Network Design Parameters'!$J$92+K221*'3.Network Design Parameters'!$K109/'3.Network Design Parameters'!$K$92,0)*'1.Subscribers'!K$186/'1.Subscribers'!K$199</f>
        <v>107</v>
      </c>
      <c r="L233" s="54"/>
    </row>
    <row r="234" spans="3:12" ht="12.75">
      <c r="C234" s="554" t="str">
        <f t="shared" si="17"/>
        <v>T04</v>
      </c>
      <c r="D234" s="554" t="str">
        <f t="shared" si="17"/>
        <v>TS-ISC</v>
      </c>
      <c r="E234" s="555" t="s">
        <v>123</v>
      </c>
      <c r="F234" s="131"/>
      <c r="G234" s="333">
        <f>ROUNDUP(G222*'3.Network Design Parameters'!$E110/'3.Network Design Parameters'!$E$92+G222*'3.Network Design Parameters'!$F110/'3.Network Design Parameters'!$F$92+G222*'3.Network Design Parameters'!$G110/'3.Network Design Parameters'!$G$92+G222*'3.Network Design Parameters'!$H110/'3.Network Design Parameters'!$H$92+G222*'3.Network Design Parameters'!$I110/'3.Network Design Parameters'!$I$92+G222*'3.Network Design Parameters'!$J110/'3.Network Design Parameters'!$J$92+G222*'3.Network Design Parameters'!$K110/'3.Network Design Parameters'!$K$92,0)*'1.Subscribers'!G$186/'1.Subscribers'!G$199</f>
        <v>336</v>
      </c>
      <c r="H234" s="333">
        <f>ROUNDUP(H222*'3.Network Design Parameters'!$E110/'3.Network Design Parameters'!$E$92+H222*'3.Network Design Parameters'!$F110/'3.Network Design Parameters'!$F$92+H222*'3.Network Design Parameters'!$G110/'3.Network Design Parameters'!$G$92+H222*'3.Network Design Parameters'!$H110/'3.Network Design Parameters'!$H$92+H222*'3.Network Design Parameters'!$I110/'3.Network Design Parameters'!$I$92+H222*'3.Network Design Parameters'!$J110/'3.Network Design Parameters'!$J$92+H222*'3.Network Design Parameters'!$K110/'3.Network Design Parameters'!$K$92,0)*'1.Subscribers'!H$186/'1.Subscribers'!H$199</f>
        <v>292</v>
      </c>
      <c r="I234" s="333">
        <f>ROUNDUP(I222*'3.Network Design Parameters'!$E110/'3.Network Design Parameters'!$E$92+I222*'3.Network Design Parameters'!$F110/'3.Network Design Parameters'!$F$92+I222*'3.Network Design Parameters'!$G110/'3.Network Design Parameters'!$G$92+I222*'3.Network Design Parameters'!$H110/'3.Network Design Parameters'!$H$92+I222*'3.Network Design Parameters'!$I110/'3.Network Design Parameters'!$I$92+I222*'3.Network Design Parameters'!$J110/'3.Network Design Parameters'!$J$92+I222*'3.Network Design Parameters'!$K110/'3.Network Design Parameters'!$K$92,0)*'1.Subscribers'!I$186/'1.Subscribers'!I$199</f>
        <v>266</v>
      </c>
      <c r="J234" s="333">
        <f>ROUNDUP(J222*'3.Network Design Parameters'!$E110/'3.Network Design Parameters'!$E$92+J222*'3.Network Design Parameters'!$F110/'3.Network Design Parameters'!$F$92+J222*'3.Network Design Parameters'!$G110/'3.Network Design Parameters'!$G$92+J222*'3.Network Design Parameters'!$H110/'3.Network Design Parameters'!$H$92+J222*'3.Network Design Parameters'!$I110/'3.Network Design Parameters'!$I$92+J222*'3.Network Design Parameters'!$J110/'3.Network Design Parameters'!$J$92+J222*'3.Network Design Parameters'!$K110/'3.Network Design Parameters'!$K$92,0)*'1.Subscribers'!J$186/'1.Subscribers'!J$199</f>
        <v>243</v>
      </c>
      <c r="K234" s="333">
        <f>ROUNDUP(K222*'3.Network Design Parameters'!$E110/'3.Network Design Parameters'!$E$92+K222*'3.Network Design Parameters'!$F110/'3.Network Design Parameters'!$F$92+K222*'3.Network Design Parameters'!$G110/'3.Network Design Parameters'!$G$92+K222*'3.Network Design Parameters'!$H110/'3.Network Design Parameters'!$H$92+K222*'3.Network Design Parameters'!$I110/'3.Network Design Parameters'!$I$92+K222*'3.Network Design Parameters'!$J110/'3.Network Design Parameters'!$J$92+K222*'3.Network Design Parameters'!$K110/'3.Network Design Parameters'!$K$92,0)*'1.Subscribers'!K$186/'1.Subscribers'!K$199</f>
        <v>219</v>
      </c>
      <c r="L234" s="54"/>
    </row>
    <row r="235" spans="3:12" ht="12.75">
      <c r="C235" s="554" t="str">
        <f t="shared" si="17"/>
        <v>T05</v>
      </c>
      <c r="D235" s="554" t="str">
        <f t="shared" si="17"/>
        <v>ISC-ISC</v>
      </c>
      <c r="E235" s="555" t="s">
        <v>123</v>
      </c>
      <c r="F235" s="131"/>
      <c r="G235" s="333">
        <f>ROUNDUP(G223*'3.Network Design Parameters'!$E111/'3.Network Design Parameters'!$E$92+G223*'3.Network Design Parameters'!$F111/'3.Network Design Parameters'!$F$92+G223*'3.Network Design Parameters'!$G111/'3.Network Design Parameters'!$G$92+G223*'3.Network Design Parameters'!$H111/'3.Network Design Parameters'!$H$92+G223*'3.Network Design Parameters'!$I111/'3.Network Design Parameters'!$I$92+G223*'3.Network Design Parameters'!$J111/'3.Network Design Parameters'!$J$92+G223*'3.Network Design Parameters'!$K111/'3.Network Design Parameters'!$K$92,0)*'1.Subscribers'!G$186/'1.Subscribers'!G$199</f>
        <v>32</v>
      </c>
      <c r="H235" s="333">
        <f>ROUNDUP(H223*'3.Network Design Parameters'!$E111/'3.Network Design Parameters'!$E$92+H223*'3.Network Design Parameters'!$F111/'3.Network Design Parameters'!$F$92+H223*'3.Network Design Parameters'!$G111/'3.Network Design Parameters'!$G$92+H223*'3.Network Design Parameters'!$H111/'3.Network Design Parameters'!$H$92+H223*'3.Network Design Parameters'!$I111/'3.Network Design Parameters'!$I$92+H223*'3.Network Design Parameters'!$J111/'3.Network Design Parameters'!$J$92+H223*'3.Network Design Parameters'!$K111/'3.Network Design Parameters'!$K$92,0)*'1.Subscribers'!H$186/'1.Subscribers'!H$199</f>
        <v>26</v>
      </c>
      <c r="I235" s="333">
        <f>ROUNDUP(I223*'3.Network Design Parameters'!$E111/'3.Network Design Parameters'!$E$92+I223*'3.Network Design Parameters'!$F111/'3.Network Design Parameters'!$F$92+I223*'3.Network Design Parameters'!$G111/'3.Network Design Parameters'!$G$92+I223*'3.Network Design Parameters'!$H111/'3.Network Design Parameters'!$H$92+I223*'3.Network Design Parameters'!$I111/'3.Network Design Parameters'!$I$92+I223*'3.Network Design Parameters'!$J111/'3.Network Design Parameters'!$J$92+I223*'3.Network Design Parameters'!$K111/'3.Network Design Parameters'!$K$92,0)*'1.Subscribers'!I$186/'1.Subscribers'!I$199</f>
        <v>29</v>
      </c>
      <c r="J235" s="333">
        <f>ROUNDUP(J223*'3.Network Design Parameters'!$E111/'3.Network Design Parameters'!$E$92+J223*'3.Network Design Parameters'!$F111/'3.Network Design Parameters'!$F$92+J223*'3.Network Design Parameters'!$G111/'3.Network Design Parameters'!$G$92+J223*'3.Network Design Parameters'!$H111/'3.Network Design Parameters'!$H$92+J223*'3.Network Design Parameters'!$I111/'3.Network Design Parameters'!$I$92+J223*'3.Network Design Parameters'!$J111/'3.Network Design Parameters'!$J$92+J223*'3.Network Design Parameters'!$K111/'3.Network Design Parameters'!$K$92,0)*'1.Subscribers'!J$186/'1.Subscribers'!J$199</f>
        <v>27</v>
      </c>
      <c r="K235" s="333">
        <f>ROUNDUP(K223*'3.Network Design Parameters'!$E111/'3.Network Design Parameters'!$E$92+K223*'3.Network Design Parameters'!$F111/'3.Network Design Parameters'!$F$92+K223*'3.Network Design Parameters'!$G111/'3.Network Design Parameters'!$G$92+K223*'3.Network Design Parameters'!$H111/'3.Network Design Parameters'!$H$92+K223*'3.Network Design Parameters'!$I111/'3.Network Design Parameters'!$I$92+K223*'3.Network Design Parameters'!$J111/'3.Network Design Parameters'!$J$92+K223*'3.Network Design Parameters'!$K111/'3.Network Design Parameters'!$K$92,0)*'1.Subscribers'!K$186/'1.Subscribers'!K$199</f>
        <v>25</v>
      </c>
      <c r="L235" s="54"/>
    </row>
    <row r="236" spans="3:12" ht="12.75">
      <c r="C236" s="554" t="str">
        <f t="shared" si="17"/>
        <v>T06</v>
      </c>
      <c r="D236" s="554" t="str">
        <f t="shared" si="17"/>
        <v>ISC-IN</v>
      </c>
      <c r="E236" s="555" t="s">
        <v>123</v>
      </c>
      <c r="F236" s="131"/>
      <c r="G236" s="333">
        <f>ROUNDUP(G224*'3.Network Design Parameters'!$E112/'3.Network Design Parameters'!$E$92+G224*'3.Network Design Parameters'!$F112/'3.Network Design Parameters'!$F$92+G224*'3.Network Design Parameters'!$G112/'3.Network Design Parameters'!$G$92+G224*'3.Network Design Parameters'!$H112/'3.Network Design Parameters'!$H$92+G224*'3.Network Design Parameters'!$I112/'3.Network Design Parameters'!$I$92+G224*'3.Network Design Parameters'!$J112/'3.Network Design Parameters'!$J$92+G224*'3.Network Design Parameters'!$K112/'3.Network Design Parameters'!$K$92,0)*'1.Subscribers'!G$186/'1.Subscribers'!G$199</f>
        <v>2</v>
      </c>
      <c r="H236" s="333">
        <f>ROUNDUP(H224*'3.Network Design Parameters'!$E112/'3.Network Design Parameters'!$E$92+H224*'3.Network Design Parameters'!$F112/'3.Network Design Parameters'!$F$92+H224*'3.Network Design Parameters'!$G112/'3.Network Design Parameters'!$G$92+H224*'3.Network Design Parameters'!$H112/'3.Network Design Parameters'!$H$92+H224*'3.Network Design Parameters'!$I112/'3.Network Design Parameters'!$I$92+H224*'3.Network Design Parameters'!$J112/'3.Network Design Parameters'!$J$92+H224*'3.Network Design Parameters'!$K112/'3.Network Design Parameters'!$K$92,0)*'1.Subscribers'!H$186/'1.Subscribers'!H$199</f>
        <v>2</v>
      </c>
      <c r="I236" s="333">
        <f>ROUNDUP(I224*'3.Network Design Parameters'!$E112/'3.Network Design Parameters'!$E$92+I224*'3.Network Design Parameters'!$F112/'3.Network Design Parameters'!$F$92+I224*'3.Network Design Parameters'!$G112/'3.Network Design Parameters'!$G$92+I224*'3.Network Design Parameters'!$H112/'3.Network Design Parameters'!$H$92+I224*'3.Network Design Parameters'!$I112/'3.Network Design Parameters'!$I$92+I224*'3.Network Design Parameters'!$J112/'3.Network Design Parameters'!$J$92+I224*'3.Network Design Parameters'!$K112/'3.Network Design Parameters'!$K$92,0)*'1.Subscribers'!I$186/'1.Subscribers'!I$199</f>
        <v>2</v>
      </c>
      <c r="J236" s="333">
        <f>ROUNDUP(J224*'3.Network Design Parameters'!$E112/'3.Network Design Parameters'!$E$92+J224*'3.Network Design Parameters'!$F112/'3.Network Design Parameters'!$F$92+J224*'3.Network Design Parameters'!$G112/'3.Network Design Parameters'!$G$92+J224*'3.Network Design Parameters'!$H112/'3.Network Design Parameters'!$H$92+J224*'3.Network Design Parameters'!$I112/'3.Network Design Parameters'!$I$92+J224*'3.Network Design Parameters'!$J112/'3.Network Design Parameters'!$J$92+J224*'3.Network Design Parameters'!$K112/'3.Network Design Parameters'!$K$92,0)*'1.Subscribers'!J$186/'1.Subscribers'!J$199</f>
        <v>2</v>
      </c>
      <c r="K236" s="333">
        <f>ROUNDUP(K224*'3.Network Design Parameters'!$E112/'3.Network Design Parameters'!$E$92+K224*'3.Network Design Parameters'!$F112/'3.Network Design Parameters'!$F$92+K224*'3.Network Design Parameters'!$G112/'3.Network Design Parameters'!$G$92+K224*'3.Network Design Parameters'!$H112/'3.Network Design Parameters'!$H$92+K224*'3.Network Design Parameters'!$I112/'3.Network Design Parameters'!$I$92+K224*'3.Network Design Parameters'!$J112/'3.Network Design Parameters'!$J$92+K224*'3.Network Design Parameters'!$K112/'3.Network Design Parameters'!$K$92,0)*'1.Subscribers'!K$186/'1.Subscribers'!K$199</f>
        <v>2</v>
      </c>
      <c r="L236" s="54"/>
    </row>
    <row r="237" spans="3:12" ht="12.75">
      <c r="C237" s="554" t="str">
        <f t="shared" si="17"/>
        <v>T07</v>
      </c>
      <c r="D237" s="554" t="str">
        <f t="shared" si="17"/>
        <v>TS-IN</v>
      </c>
      <c r="E237" s="555" t="s">
        <v>123</v>
      </c>
      <c r="F237" s="131"/>
      <c r="G237" s="333">
        <f>ROUNDUP(G225*'3.Network Design Parameters'!$E113/'3.Network Design Parameters'!$E$92+G225*'3.Network Design Parameters'!$F113/'3.Network Design Parameters'!$F$92+G225*'3.Network Design Parameters'!$G113/'3.Network Design Parameters'!$G$92+G225*'3.Network Design Parameters'!$H113/'3.Network Design Parameters'!$H$92+G225*'3.Network Design Parameters'!$I113/'3.Network Design Parameters'!$I$92+G225*'3.Network Design Parameters'!$J113/'3.Network Design Parameters'!$J$92+G225*'3.Network Design Parameters'!$K113/'3.Network Design Parameters'!$K$92,0)*'1.Subscribers'!G$186/'1.Subscribers'!G$199</f>
        <v>5.000000000000001</v>
      </c>
      <c r="H237" s="333">
        <f>ROUNDUP(H225*'3.Network Design Parameters'!$E113/'3.Network Design Parameters'!$E$92+H225*'3.Network Design Parameters'!$F113/'3.Network Design Parameters'!$F$92+H225*'3.Network Design Parameters'!$G113/'3.Network Design Parameters'!$G$92+H225*'3.Network Design Parameters'!$H113/'3.Network Design Parameters'!$H$92+H225*'3.Network Design Parameters'!$I113/'3.Network Design Parameters'!$I$92+H225*'3.Network Design Parameters'!$J113/'3.Network Design Parameters'!$J$92+H225*'3.Network Design Parameters'!$K113/'3.Network Design Parameters'!$K$92,0)*'1.Subscribers'!H$186/'1.Subscribers'!H$199</f>
        <v>5</v>
      </c>
      <c r="I237" s="333">
        <f>ROUNDUP(I225*'3.Network Design Parameters'!$E113/'3.Network Design Parameters'!$E$92+I225*'3.Network Design Parameters'!$F113/'3.Network Design Parameters'!$F$92+I225*'3.Network Design Parameters'!$G113/'3.Network Design Parameters'!$G$92+I225*'3.Network Design Parameters'!$H113/'3.Network Design Parameters'!$H$92+I225*'3.Network Design Parameters'!$I113/'3.Network Design Parameters'!$I$92+I225*'3.Network Design Parameters'!$J113/'3.Network Design Parameters'!$J$92+I225*'3.Network Design Parameters'!$K113/'3.Network Design Parameters'!$K$92,0)*'1.Subscribers'!I$186/'1.Subscribers'!I$199</f>
        <v>5</v>
      </c>
      <c r="J237" s="333">
        <f>ROUNDUP(J225*'3.Network Design Parameters'!$E113/'3.Network Design Parameters'!$E$92+J225*'3.Network Design Parameters'!$F113/'3.Network Design Parameters'!$F$92+J225*'3.Network Design Parameters'!$G113/'3.Network Design Parameters'!$G$92+J225*'3.Network Design Parameters'!$H113/'3.Network Design Parameters'!$H$92+J225*'3.Network Design Parameters'!$I113/'3.Network Design Parameters'!$I$92+J225*'3.Network Design Parameters'!$J113/'3.Network Design Parameters'!$J$92+J225*'3.Network Design Parameters'!$K113/'3.Network Design Parameters'!$K$92,0)*'1.Subscribers'!J$186/'1.Subscribers'!J$199</f>
        <v>5</v>
      </c>
      <c r="K237" s="333">
        <f>ROUNDUP(K225*'3.Network Design Parameters'!$E113/'3.Network Design Parameters'!$E$92+K225*'3.Network Design Parameters'!$F113/'3.Network Design Parameters'!$F$92+K225*'3.Network Design Parameters'!$G113/'3.Network Design Parameters'!$G$92+K225*'3.Network Design Parameters'!$H113/'3.Network Design Parameters'!$H$92+K225*'3.Network Design Parameters'!$I113/'3.Network Design Parameters'!$I$92+K225*'3.Network Design Parameters'!$J113/'3.Network Design Parameters'!$J$92+K225*'3.Network Design Parameters'!$K113/'3.Network Design Parameters'!$K$92,0)*'1.Subscribers'!K$186/'1.Subscribers'!K$199</f>
        <v>4</v>
      </c>
      <c r="L237" s="54"/>
    </row>
    <row r="238" spans="3:12" ht="12.75">
      <c r="C238" s="554" t="str">
        <f t="shared" si="17"/>
        <v>T08</v>
      </c>
      <c r="D238" s="554" t="str">
        <f t="shared" si="17"/>
        <v>TS-IGW</v>
      </c>
      <c r="E238" s="555" t="s">
        <v>123</v>
      </c>
      <c r="F238" s="131"/>
      <c r="G238" s="333">
        <f>ROUNDUP(G226*'3.Network Design Parameters'!$E114/'3.Network Design Parameters'!$E$92+G226*'3.Network Design Parameters'!$F114/'3.Network Design Parameters'!$F$92+G226*'3.Network Design Parameters'!$G114/'3.Network Design Parameters'!$G$92+G226*'3.Network Design Parameters'!$H114/'3.Network Design Parameters'!$H$92+G226*'3.Network Design Parameters'!$I114/'3.Network Design Parameters'!$I$92+G226*'3.Network Design Parameters'!$J114/'3.Network Design Parameters'!$J$92+G226*'3.Network Design Parameters'!$K114/'3.Network Design Parameters'!$K$92,0)*'1.Subscribers'!G$186/'1.Subscribers'!G$199</f>
        <v>98</v>
      </c>
      <c r="H238" s="333">
        <f>ROUNDUP(H226*'3.Network Design Parameters'!$E114/'3.Network Design Parameters'!$E$92+H226*'3.Network Design Parameters'!$F114/'3.Network Design Parameters'!$F$92+H226*'3.Network Design Parameters'!$G114/'3.Network Design Parameters'!$G$92+H226*'3.Network Design Parameters'!$H114/'3.Network Design Parameters'!$H$92+H226*'3.Network Design Parameters'!$I114/'3.Network Design Parameters'!$I$92+H226*'3.Network Design Parameters'!$J114/'3.Network Design Parameters'!$J$92+H226*'3.Network Design Parameters'!$K114/'3.Network Design Parameters'!$K$92,0)*'1.Subscribers'!H$186/'1.Subscribers'!H$199</f>
        <v>85</v>
      </c>
      <c r="I238" s="333">
        <f>ROUNDUP(I226*'3.Network Design Parameters'!$E114/'3.Network Design Parameters'!$E$92+I226*'3.Network Design Parameters'!$F114/'3.Network Design Parameters'!$F$92+I226*'3.Network Design Parameters'!$G114/'3.Network Design Parameters'!$G$92+I226*'3.Network Design Parameters'!$H114/'3.Network Design Parameters'!$H$92+I226*'3.Network Design Parameters'!$I114/'3.Network Design Parameters'!$I$92+I226*'3.Network Design Parameters'!$J114/'3.Network Design Parameters'!$J$92+I226*'3.Network Design Parameters'!$K114/'3.Network Design Parameters'!$K$92,0)*'1.Subscribers'!I$186/'1.Subscribers'!I$199</f>
        <v>96</v>
      </c>
      <c r="J238" s="333">
        <f>ROUNDUP(J226*'3.Network Design Parameters'!$E114/'3.Network Design Parameters'!$E$92+J226*'3.Network Design Parameters'!$F114/'3.Network Design Parameters'!$F$92+J226*'3.Network Design Parameters'!$G114/'3.Network Design Parameters'!$G$92+J226*'3.Network Design Parameters'!$H114/'3.Network Design Parameters'!$H$92+J226*'3.Network Design Parameters'!$I114/'3.Network Design Parameters'!$I$92+J226*'3.Network Design Parameters'!$J114/'3.Network Design Parameters'!$J$92+J226*'3.Network Design Parameters'!$K114/'3.Network Design Parameters'!$K$92,0)*'1.Subscribers'!J$186/'1.Subscribers'!J$199</f>
        <v>96.00000000000001</v>
      </c>
      <c r="K238" s="333">
        <f>ROUNDUP(K226*'3.Network Design Parameters'!$E114/'3.Network Design Parameters'!$E$92+K226*'3.Network Design Parameters'!$F114/'3.Network Design Parameters'!$F$92+K226*'3.Network Design Parameters'!$G114/'3.Network Design Parameters'!$G$92+K226*'3.Network Design Parameters'!$H114/'3.Network Design Parameters'!$H$92+K226*'3.Network Design Parameters'!$I114/'3.Network Design Parameters'!$I$92+K226*'3.Network Design Parameters'!$J114/'3.Network Design Parameters'!$J$92+K226*'3.Network Design Parameters'!$K114/'3.Network Design Parameters'!$K$92,0)*'1.Subscribers'!K$186/'1.Subscribers'!K$199</f>
        <v>94</v>
      </c>
      <c r="L238" s="54"/>
    </row>
    <row r="239" spans="3:12" ht="12.75">
      <c r="C239" s="554" t="str">
        <f t="shared" si="17"/>
        <v>T09</v>
      </c>
      <c r="D239" s="554" t="str">
        <f t="shared" si="17"/>
        <v>LS-LS</v>
      </c>
      <c r="E239" s="555" t="s">
        <v>123</v>
      </c>
      <c r="F239" s="131"/>
      <c r="G239" s="333">
        <f>ROUNDUP(G227*'3.Network Design Parameters'!$E115/'3.Network Design Parameters'!$E$92+G227*'3.Network Design Parameters'!$F115/'3.Network Design Parameters'!$F$92+G227*'3.Network Design Parameters'!$G115/'3.Network Design Parameters'!$G$92+G227*'3.Network Design Parameters'!$H115/'3.Network Design Parameters'!$H$92+G227*'3.Network Design Parameters'!$I115/'3.Network Design Parameters'!$I$92+G227*'3.Network Design Parameters'!$J115/'3.Network Design Parameters'!$J$92+G227*'3.Network Design Parameters'!$K115/'3.Network Design Parameters'!$K$92,0)*'1.Subscribers'!G$186/'1.Subscribers'!G$199</f>
        <v>42</v>
      </c>
      <c r="H239" s="333">
        <f>ROUNDUP(H227*'3.Network Design Parameters'!$E115/'3.Network Design Parameters'!$E$92+H227*'3.Network Design Parameters'!$F115/'3.Network Design Parameters'!$F$92+H227*'3.Network Design Parameters'!$G115/'3.Network Design Parameters'!$G$92+H227*'3.Network Design Parameters'!$H115/'3.Network Design Parameters'!$H$92+H227*'3.Network Design Parameters'!$I115/'3.Network Design Parameters'!$I$92+H227*'3.Network Design Parameters'!$J115/'3.Network Design Parameters'!$J$92+H227*'3.Network Design Parameters'!$K115/'3.Network Design Parameters'!$K$92,0)*'1.Subscribers'!H$186/'1.Subscribers'!H$199</f>
        <v>42</v>
      </c>
      <c r="I239" s="333">
        <f>ROUNDUP(I227*'3.Network Design Parameters'!$E115/'3.Network Design Parameters'!$E$92+I227*'3.Network Design Parameters'!$F115/'3.Network Design Parameters'!$F$92+I227*'3.Network Design Parameters'!$G115/'3.Network Design Parameters'!$G$92+I227*'3.Network Design Parameters'!$H115/'3.Network Design Parameters'!$H$92+I227*'3.Network Design Parameters'!$I115/'3.Network Design Parameters'!$I$92+I227*'3.Network Design Parameters'!$J115/'3.Network Design Parameters'!$J$92+I227*'3.Network Design Parameters'!$K115/'3.Network Design Parameters'!$K$92,0)*'1.Subscribers'!I$186/'1.Subscribers'!I$199</f>
        <v>42</v>
      </c>
      <c r="J239" s="333">
        <f>ROUNDUP(J227*'3.Network Design Parameters'!$E115/'3.Network Design Parameters'!$E$92+J227*'3.Network Design Parameters'!$F115/'3.Network Design Parameters'!$F$92+J227*'3.Network Design Parameters'!$G115/'3.Network Design Parameters'!$G$92+J227*'3.Network Design Parameters'!$H115/'3.Network Design Parameters'!$H$92+J227*'3.Network Design Parameters'!$I115/'3.Network Design Parameters'!$I$92+J227*'3.Network Design Parameters'!$J115/'3.Network Design Parameters'!$J$92+J227*'3.Network Design Parameters'!$K115/'3.Network Design Parameters'!$K$92,0)*'1.Subscribers'!J$186/'1.Subscribers'!J$199</f>
        <v>41</v>
      </c>
      <c r="K239" s="333">
        <f>ROUNDUP(K227*'3.Network Design Parameters'!$E115/'3.Network Design Parameters'!$E$92+K227*'3.Network Design Parameters'!$F115/'3.Network Design Parameters'!$F$92+K227*'3.Network Design Parameters'!$G115/'3.Network Design Parameters'!$G$92+K227*'3.Network Design Parameters'!$H115/'3.Network Design Parameters'!$H$92+K227*'3.Network Design Parameters'!$I115/'3.Network Design Parameters'!$I$92+K227*'3.Network Design Parameters'!$J115/'3.Network Design Parameters'!$J$92+K227*'3.Network Design Parameters'!$K115/'3.Network Design Parameters'!$K$92,0)*'1.Subscribers'!K$186/'1.Subscribers'!K$199</f>
        <v>39</v>
      </c>
      <c r="L239" s="54"/>
    </row>
    <row r="240" spans="3:12" ht="12.75">
      <c r="C240" s="13"/>
      <c r="D240" s="17"/>
      <c r="E240" s="17"/>
      <c r="F240" s="133"/>
      <c r="G240" s="134"/>
      <c r="H240" s="134"/>
      <c r="I240" s="134"/>
      <c r="J240" s="134"/>
      <c r="K240" s="134"/>
      <c r="L240" s="54"/>
    </row>
    <row r="241" spans="3:12" ht="12.75">
      <c r="C241" s="54"/>
      <c r="D241" s="54"/>
      <c r="E241" s="54"/>
      <c r="F241" s="54"/>
      <c r="G241" s="54"/>
      <c r="H241" s="54"/>
      <c r="I241" s="54"/>
      <c r="J241" s="54"/>
      <c r="K241" s="54"/>
      <c r="L241" s="54"/>
    </row>
    <row r="242" spans="3:12" ht="12.75"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ht="12.75">
      <c r="A243" s="551"/>
    </row>
    <row r="244" spans="1:7" ht="15.75">
      <c r="A244" s="551"/>
      <c r="B244" s="267">
        <f>B191+0.01</f>
        <v>6.0699999999999985</v>
      </c>
      <c r="C244" s="29" t="s">
        <v>711</v>
      </c>
      <c r="D244" s="28"/>
      <c r="G244" s="1"/>
    </row>
    <row r="245" spans="1:2" ht="12.75">
      <c r="A245" s="21"/>
      <c r="B245" s="273"/>
    </row>
    <row r="246" spans="1:11" ht="12.75">
      <c r="A246" s="21"/>
      <c r="B246" s="273"/>
      <c r="G246" s="1"/>
      <c r="H246" s="1"/>
      <c r="I246" s="1"/>
      <c r="J246" s="1"/>
      <c r="K246" s="1"/>
    </row>
    <row r="247" spans="1:11" ht="25.5" customHeight="1">
      <c r="A247" s="21"/>
      <c r="B247" s="273"/>
      <c r="C247" s="143"/>
      <c r="D247" s="158" t="s">
        <v>689</v>
      </c>
      <c r="E247" s="17" t="s">
        <v>652</v>
      </c>
      <c r="F247" s="18"/>
      <c r="G247" s="92">
        <f>'C. Masterfiles'!E$99</f>
        <v>2008</v>
      </c>
      <c r="H247" s="92">
        <f>'C. Masterfiles'!F$99</f>
        <v>2009</v>
      </c>
      <c r="I247" s="92">
        <f>'C. Masterfiles'!G$99</f>
        <v>2010</v>
      </c>
      <c r="J247" s="92">
        <f>'C. Masterfiles'!H$99</f>
        <v>2011</v>
      </c>
      <c r="K247" s="92">
        <f>'C. Masterfiles'!I$99</f>
        <v>2012</v>
      </c>
    </row>
    <row r="248" spans="1:11" ht="12.75">
      <c r="A248" s="21"/>
      <c r="B248" s="273"/>
      <c r="C248" s="291" t="str">
        <f>'C. Masterfiles'!C53</f>
        <v>N01</v>
      </c>
      <c r="D248" s="291" t="str">
        <f>'C. Masterfiles'!D53</f>
        <v>Remote Access Unit</v>
      </c>
      <c r="E248" s="137" t="s">
        <v>712</v>
      </c>
      <c r="F248" s="42" t="str">
        <f>'C. Masterfiles'!E53</f>
        <v>RAU</v>
      </c>
      <c r="G248" s="339">
        <f>G114</f>
        <v>430</v>
      </c>
      <c r="H248" s="339">
        <f>H114</f>
        <v>523</v>
      </c>
      <c r="I248" s="339">
        <f>I114</f>
        <v>618</v>
      </c>
      <c r="J248" s="339">
        <f>J114</f>
        <v>717</v>
      </c>
      <c r="K248" s="339">
        <f>K114</f>
        <v>820</v>
      </c>
    </row>
    <row r="249" spans="1:11" ht="12.75">
      <c r="A249" s="21"/>
      <c r="B249" s="273"/>
      <c r="C249" s="291" t="str">
        <f>'C. Masterfiles'!C54</f>
        <v>N02</v>
      </c>
      <c r="D249" s="291" t="str">
        <f>'C. Masterfiles'!D54</f>
        <v>Local Switch</v>
      </c>
      <c r="E249" s="137" t="s">
        <v>712</v>
      </c>
      <c r="F249" s="42" t="str">
        <f>'C. Masterfiles'!E54</f>
        <v>LS</v>
      </c>
      <c r="G249" s="339">
        <f>G122</f>
        <v>644</v>
      </c>
      <c r="H249" s="339">
        <f>H122</f>
        <v>578</v>
      </c>
      <c r="I249" s="339">
        <f>I122</f>
        <v>505</v>
      </c>
      <c r="J249" s="339">
        <f>J122</f>
        <v>430</v>
      </c>
      <c r="K249" s="339">
        <f>K122</f>
        <v>352</v>
      </c>
    </row>
    <row r="250" spans="1:11" ht="12.75">
      <c r="A250" s="21"/>
      <c r="B250" s="273"/>
      <c r="C250" s="291" t="str">
        <f>'C. Masterfiles'!C55</f>
        <v>N03</v>
      </c>
      <c r="D250" s="291" t="str">
        <f>'C. Masterfiles'!D55</f>
        <v>Tandem Switch</v>
      </c>
      <c r="E250" s="137" t="s">
        <v>712</v>
      </c>
      <c r="F250" s="42" t="str">
        <f>'C. Masterfiles'!E55</f>
        <v>TS</v>
      </c>
      <c r="G250" s="339">
        <f>G130</f>
        <v>36</v>
      </c>
      <c r="H250" s="339">
        <f>H130</f>
        <v>33</v>
      </c>
      <c r="I250" s="339">
        <f>I130</f>
        <v>32</v>
      </c>
      <c r="J250" s="339">
        <f>J130</f>
        <v>31</v>
      </c>
      <c r="K250" s="339">
        <f>K130</f>
        <v>29</v>
      </c>
    </row>
    <row r="251" spans="1:11" ht="12.75">
      <c r="A251" s="21"/>
      <c r="B251" s="273"/>
      <c r="C251" s="291" t="str">
        <f>'C. Masterfiles'!C56</f>
        <v>N04</v>
      </c>
      <c r="D251" s="291" t="str">
        <f>'C. Masterfiles'!D56</f>
        <v>International switching centre</v>
      </c>
      <c r="E251" s="137" t="s">
        <v>712</v>
      </c>
      <c r="F251" s="42" t="str">
        <f>'C. Masterfiles'!E56</f>
        <v>ISC</v>
      </c>
      <c r="G251" s="339">
        <f>G138</f>
        <v>2</v>
      </c>
      <c r="H251" s="339">
        <f>H138</f>
        <v>2</v>
      </c>
      <c r="I251" s="339">
        <f>I138</f>
        <v>2</v>
      </c>
      <c r="J251" s="339">
        <f>J138</f>
        <v>2</v>
      </c>
      <c r="K251" s="339">
        <f>K138</f>
        <v>2</v>
      </c>
    </row>
    <row r="252" spans="1:11" ht="12.75">
      <c r="A252" s="21"/>
      <c r="B252" s="273"/>
      <c r="C252" s="291" t="str">
        <f>'C. Masterfiles'!C57</f>
        <v>N05</v>
      </c>
      <c r="D252" s="291" t="str">
        <f>'C. Masterfiles'!D57</f>
        <v>Interconnect gateway</v>
      </c>
      <c r="E252" s="137" t="s">
        <v>712</v>
      </c>
      <c r="F252" s="42" t="str">
        <f>'C. Masterfiles'!E57</f>
        <v>IGW</v>
      </c>
      <c r="G252" s="339">
        <f>G146</f>
        <v>2</v>
      </c>
      <c r="H252" s="339">
        <f>H146</f>
        <v>2</v>
      </c>
      <c r="I252" s="339">
        <f>I146</f>
        <v>2</v>
      </c>
      <c r="J252" s="339">
        <f>J146</f>
        <v>2</v>
      </c>
      <c r="K252" s="339">
        <f>K146</f>
        <v>2</v>
      </c>
    </row>
    <row r="253" spans="1:11" ht="12.75">
      <c r="A253" s="21"/>
      <c r="B253" s="273"/>
      <c r="C253" s="291" t="str">
        <f>'C. Masterfiles'!C58</f>
        <v>N06</v>
      </c>
      <c r="D253" s="291" t="str">
        <f>'C. Masterfiles'!D58</f>
        <v>Intelligent network </v>
      </c>
      <c r="E253" s="137" t="s">
        <v>712</v>
      </c>
      <c r="F253" s="42" t="str">
        <f>'C. Masterfiles'!E58</f>
        <v>IN</v>
      </c>
      <c r="G253" s="339">
        <f>G154</f>
        <v>1</v>
      </c>
      <c r="H253" s="339">
        <f>H154</f>
        <v>1</v>
      </c>
      <c r="I253" s="339">
        <f>I154</f>
        <v>1</v>
      </c>
      <c r="J253" s="339">
        <f>J154</f>
        <v>1</v>
      </c>
      <c r="K253" s="339">
        <f>K154</f>
        <v>1</v>
      </c>
    </row>
    <row r="254" spans="1:11" ht="12.75">
      <c r="A254" s="21"/>
      <c r="B254" s="273"/>
      <c r="C254" s="291" t="str">
        <f>'C. Masterfiles'!C59</f>
        <v>N07</v>
      </c>
      <c r="D254" s="291" t="str">
        <f>'C. Masterfiles'!D59</f>
        <v>Retail Billing System</v>
      </c>
      <c r="E254" s="137" t="s">
        <v>712</v>
      </c>
      <c r="F254" s="42" t="str">
        <f>'C. Masterfiles'!E59</f>
        <v>RBIL</v>
      </c>
      <c r="G254" s="339">
        <f>G162</f>
        <v>1</v>
      </c>
      <c r="H254" s="339">
        <f>H162</f>
        <v>1</v>
      </c>
      <c r="I254" s="339">
        <f>I162</f>
        <v>1</v>
      </c>
      <c r="J254" s="339">
        <f>J162</f>
        <v>1</v>
      </c>
      <c r="K254" s="339">
        <f>K162</f>
        <v>1</v>
      </c>
    </row>
    <row r="255" spans="3:11" ht="12.75">
      <c r="C255" s="351" t="str">
        <f>'C. Masterfiles'!C60</f>
        <v>N08</v>
      </c>
      <c r="D255" s="351" t="str">
        <f>'C. Masterfiles'!D60</f>
        <v>Interconnection Billing System</v>
      </c>
      <c r="E255" s="37" t="s">
        <v>712</v>
      </c>
      <c r="F255" s="42" t="str">
        <f>'C. Masterfiles'!E60</f>
        <v>IBIL</v>
      </c>
      <c r="G255" s="339">
        <f>G170</f>
        <v>1</v>
      </c>
      <c r="H255" s="339">
        <f>H170</f>
        <v>1</v>
      </c>
      <c r="I255" s="339">
        <f>I170</f>
        <v>1</v>
      </c>
      <c r="J255" s="339">
        <f>J170</f>
        <v>1</v>
      </c>
      <c r="K255" s="339">
        <f>K170</f>
        <v>1</v>
      </c>
    </row>
    <row r="256" spans="1:11" ht="12.75">
      <c r="A256" s="21"/>
      <c r="B256" s="273"/>
      <c r="C256" s="291" t="str">
        <f>'C. Masterfiles'!C61</f>
        <v>N09</v>
      </c>
      <c r="D256" s="291" t="str">
        <f>'C. Masterfiles'!D61</f>
        <v>Network management system</v>
      </c>
      <c r="E256" s="137" t="s">
        <v>712</v>
      </c>
      <c r="F256" s="42" t="str">
        <f>'C. Masterfiles'!E61</f>
        <v>NMS</v>
      </c>
      <c r="G256" s="339">
        <f>G178</f>
        <v>1</v>
      </c>
      <c r="H256" s="339">
        <f>H178</f>
        <v>1</v>
      </c>
      <c r="I256" s="339">
        <f>I178</f>
        <v>1</v>
      </c>
      <c r="J256" s="339">
        <f>J178</f>
        <v>1</v>
      </c>
      <c r="K256" s="339">
        <f>K178</f>
        <v>1</v>
      </c>
    </row>
    <row r="257" spans="1:11" ht="12.75">
      <c r="A257" s="21"/>
      <c r="B257" s="273"/>
      <c r="C257" s="291" t="str">
        <f>'C. Masterfiles'!C62</f>
        <v>N10</v>
      </c>
      <c r="D257" s="291" t="str">
        <f>'C. Masterfiles'!D62</f>
        <v>Operational support system</v>
      </c>
      <c r="E257" s="137" t="s">
        <v>712</v>
      </c>
      <c r="F257" s="42" t="str">
        <f>'C. Masterfiles'!E62</f>
        <v>OSS</v>
      </c>
      <c r="G257" s="339">
        <f>G186</f>
        <v>1</v>
      </c>
      <c r="H257" s="339">
        <f>H186</f>
        <v>1</v>
      </c>
      <c r="I257" s="339">
        <f>I186</f>
        <v>1</v>
      </c>
      <c r="J257" s="339">
        <f>J186</f>
        <v>1</v>
      </c>
      <c r="K257" s="339">
        <f>K186</f>
        <v>1</v>
      </c>
    </row>
    <row r="258" spans="1:11" ht="12.75">
      <c r="A258" s="21"/>
      <c r="B258" s="273"/>
      <c r="C258" s="90" t="str">
        <f>'C. Masterfiles'!C63</f>
        <v>End</v>
      </c>
      <c r="D258" s="90" t="str">
        <f>'C. Masterfiles'!D63</f>
        <v>End of list</v>
      </c>
      <c r="E258" s="141"/>
      <c r="F258" s="141"/>
      <c r="G258" s="141"/>
      <c r="H258" s="141"/>
      <c r="I258" s="141"/>
      <c r="J258" s="141"/>
      <c r="K258" s="141"/>
    </row>
    <row r="259" spans="1:2" ht="12.75">
      <c r="A259" s="21"/>
      <c r="B259" s="273"/>
    </row>
    <row r="260" spans="1:11" ht="12.75">
      <c r="A260" s="21"/>
      <c r="B260" s="273"/>
      <c r="G260" s="1"/>
      <c r="H260" s="1"/>
      <c r="I260" s="1"/>
      <c r="J260" s="1"/>
      <c r="K260" s="1"/>
    </row>
    <row r="261" spans="1:33" s="83" customFormat="1" ht="25.5" customHeight="1">
      <c r="A261" s="21"/>
      <c r="B261" s="273"/>
      <c r="C261" s="213"/>
      <c r="D261" s="509" t="s">
        <v>955</v>
      </c>
      <c r="E261" s="17" t="s">
        <v>652</v>
      </c>
      <c r="F261" s="18"/>
      <c r="G261" s="92">
        <f>'C. Masterfiles'!E$99</f>
        <v>2008</v>
      </c>
      <c r="H261" s="92">
        <f>'C. Masterfiles'!F$99</f>
        <v>2009</v>
      </c>
      <c r="I261" s="92">
        <f>'C. Masterfiles'!G$99</f>
        <v>2010</v>
      </c>
      <c r="J261" s="92">
        <f>'C. Masterfiles'!H$99</f>
        <v>2011</v>
      </c>
      <c r="K261" s="92">
        <f>'C. Masterfiles'!I$99</f>
        <v>2012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11" ht="12.75">
      <c r="A262" s="21"/>
      <c r="B262" s="273"/>
      <c r="C262" s="291" t="str">
        <f>'C. Masterfiles'!C69</f>
        <v>T01</v>
      </c>
      <c r="D262" s="291" t="str">
        <f>'C. Masterfiles'!D69</f>
        <v>Rau-TS</v>
      </c>
      <c r="E262" s="137" t="s">
        <v>712</v>
      </c>
      <c r="F262" s="42"/>
      <c r="G262" s="339">
        <f>G231</f>
        <v>1150</v>
      </c>
      <c r="H262" s="339">
        <f>H231</f>
        <v>1107</v>
      </c>
      <c r="I262" s="339">
        <f>I231</f>
        <v>1067</v>
      </c>
      <c r="J262" s="339">
        <f>J231</f>
        <v>1022</v>
      </c>
      <c r="K262" s="339">
        <f>K231</f>
        <v>961</v>
      </c>
    </row>
    <row r="263" spans="1:11" ht="12.75">
      <c r="A263" s="21"/>
      <c r="B263" s="273"/>
      <c r="C263" s="550" t="str">
        <f>'C. Masterfiles'!C70</f>
        <v>T02</v>
      </c>
      <c r="D263" s="550" t="str">
        <f>'C. Masterfiles'!D70</f>
        <v>LS-TS</v>
      </c>
      <c r="E263" s="137" t="s">
        <v>712</v>
      </c>
      <c r="F263" s="131"/>
      <c r="G263" s="339">
        <f aca="true" t="shared" si="18" ref="G263:K270">G232</f>
        <v>1147</v>
      </c>
      <c r="H263" s="339">
        <f t="shared" si="18"/>
        <v>1104</v>
      </c>
      <c r="I263" s="339">
        <f t="shared" si="18"/>
        <v>1064</v>
      </c>
      <c r="J263" s="339">
        <f t="shared" si="18"/>
        <v>1020</v>
      </c>
      <c r="K263" s="339">
        <f t="shared" si="18"/>
        <v>959</v>
      </c>
    </row>
    <row r="264" spans="1:11" ht="12.75">
      <c r="A264" s="21"/>
      <c r="B264" s="273"/>
      <c r="C264" s="550" t="str">
        <f>'C. Masterfiles'!C71</f>
        <v>T03</v>
      </c>
      <c r="D264" s="550" t="str">
        <f>'C. Masterfiles'!D71</f>
        <v>TS-TS</v>
      </c>
      <c r="E264" s="137" t="s">
        <v>712</v>
      </c>
      <c r="F264" s="131"/>
      <c r="G264" s="339">
        <f t="shared" si="18"/>
        <v>117</v>
      </c>
      <c r="H264" s="339">
        <f t="shared" si="18"/>
        <v>117</v>
      </c>
      <c r="I264" s="339">
        <f t="shared" si="18"/>
        <v>116</v>
      </c>
      <c r="J264" s="339">
        <f t="shared" si="18"/>
        <v>113</v>
      </c>
      <c r="K264" s="339">
        <f t="shared" si="18"/>
        <v>107</v>
      </c>
    </row>
    <row r="265" spans="1:11" ht="12.75">
      <c r="A265" s="21"/>
      <c r="B265" s="273"/>
      <c r="C265" s="550" t="str">
        <f>'C. Masterfiles'!C72</f>
        <v>T04</v>
      </c>
      <c r="D265" s="550" t="str">
        <f>'C. Masterfiles'!D72</f>
        <v>TS-ISC</v>
      </c>
      <c r="E265" s="137" t="s">
        <v>712</v>
      </c>
      <c r="F265" s="131"/>
      <c r="G265" s="339">
        <f t="shared" si="18"/>
        <v>336</v>
      </c>
      <c r="H265" s="339">
        <f t="shared" si="18"/>
        <v>292</v>
      </c>
      <c r="I265" s="339">
        <f t="shared" si="18"/>
        <v>266</v>
      </c>
      <c r="J265" s="339">
        <f t="shared" si="18"/>
        <v>243</v>
      </c>
      <c r="K265" s="339">
        <f t="shared" si="18"/>
        <v>219</v>
      </c>
    </row>
    <row r="266" spans="1:11" ht="12.75">
      <c r="A266" s="21"/>
      <c r="B266" s="273"/>
      <c r="C266" s="550" t="str">
        <f>'C. Masterfiles'!C73</f>
        <v>T05</v>
      </c>
      <c r="D266" s="550" t="str">
        <f>'C. Masterfiles'!D73</f>
        <v>ISC-ISC</v>
      </c>
      <c r="E266" s="137" t="s">
        <v>712</v>
      </c>
      <c r="F266" s="131"/>
      <c r="G266" s="339">
        <f t="shared" si="18"/>
        <v>32</v>
      </c>
      <c r="H266" s="339">
        <f t="shared" si="18"/>
        <v>26</v>
      </c>
      <c r="I266" s="339">
        <f t="shared" si="18"/>
        <v>29</v>
      </c>
      <c r="J266" s="339">
        <f t="shared" si="18"/>
        <v>27</v>
      </c>
      <c r="K266" s="339">
        <f t="shared" si="18"/>
        <v>25</v>
      </c>
    </row>
    <row r="267" spans="1:11" ht="12.75">
      <c r="A267" s="21"/>
      <c r="B267" s="273"/>
      <c r="C267" s="550" t="str">
        <f>'C. Masterfiles'!C74</f>
        <v>T06</v>
      </c>
      <c r="D267" s="550" t="str">
        <f>'C. Masterfiles'!D74</f>
        <v>ISC-IN</v>
      </c>
      <c r="E267" s="137" t="s">
        <v>712</v>
      </c>
      <c r="F267" s="131"/>
      <c r="G267" s="339">
        <f t="shared" si="18"/>
        <v>2</v>
      </c>
      <c r="H267" s="339">
        <f t="shared" si="18"/>
        <v>2</v>
      </c>
      <c r="I267" s="339">
        <f t="shared" si="18"/>
        <v>2</v>
      </c>
      <c r="J267" s="339">
        <f t="shared" si="18"/>
        <v>2</v>
      </c>
      <c r="K267" s="339">
        <f t="shared" si="18"/>
        <v>2</v>
      </c>
    </row>
    <row r="268" spans="1:11" ht="12.75">
      <c r="A268" s="21"/>
      <c r="B268" s="273"/>
      <c r="C268" s="550" t="str">
        <f>'C. Masterfiles'!C75</f>
        <v>T07</v>
      </c>
      <c r="D268" s="550" t="str">
        <f>'C. Masterfiles'!D75</f>
        <v>TS-IN</v>
      </c>
      <c r="E268" s="137" t="s">
        <v>712</v>
      </c>
      <c r="F268" s="131"/>
      <c r="G268" s="339">
        <f t="shared" si="18"/>
        <v>5.000000000000001</v>
      </c>
      <c r="H268" s="339">
        <f t="shared" si="18"/>
        <v>5</v>
      </c>
      <c r="I268" s="339">
        <f t="shared" si="18"/>
        <v>5</v>
      </c>
      <c r="J268" s="339">
        <f t="shared" si="18"/>
        <v>5</v>
      </c>
      <c r="K268" s="339">
        <f t="shared" si="18"/>
        <v>4</v>
      </c>
    </row>
    <row r="269" spans="1:11" ht="12.75">
      <c r="A269" s="21"/>
      <c r="B269" s="273"/>
      <c r="C269" s="550" t="str">
        <f>'C. Masterfiles'!C76</f>
        <v>T08</v>
      </c>
      <c r="D269" s="550" t="str">
        <f>'C. Masterfiles'!D76</f>
        <v>TS-IGW</v>
      </c>
      <c r="E269" s="137" t="s">
        <v>712</v>
      </c>
      <c r="F269" s="131"/>
      <c r="G269" s="339">
        <f t="shared" si="18"/>
        <v>98</v>
      </c>
      <c r="H269" s="339">
        <f t="shared" si="18"/>
        <v>85</v>
      </c>
      <c r="I269" s="339">
        <f t="shared" si="18"/>
        <v>96</v>
      </c>
      <c r="J269" s="339">
        <f t="shared" si="18"/>
        <v>96.00000000000001</v>
      </c>
      <c r="K269" s="339">
        <f t="shared" si="18"/>
        <v>94</v>
      </c>
    </row>
    <row r="270" spans="1:11" ht="12.75">
      <c r="A270" s="21"/>
      <c r="B270" s="273"/>
      <c r="C270" s="550" t="str">
        <f>'C. Masterfiles'!C77</f>
        <v>T09</v>
      </c>
      <c r="D270" s="550" t="str">
        <f>'C. Masterfiles'!D77</f>
        <v>LS-LS</v>
      </c>
      <c r="E270" s="137" t="s">
        <v>712</v>
      </c>
      <c r="F270" s="131"/>
      <c r="G270" s="339">
        <f t="shared" si="18"/>
        <v>42</v>
      </c>
      <c r="H270" s="339">
        <f t="shared" si="18"/>
        <v>42</v>
      </c>
      <c r="I270" s="339">
        <f t="shared" si="18"/>
        <v>42</v>
      </c>
      <c r="J270" s="339">
        <f t="shared" si="18"/>
        <v>41</v>
      </c>
      <c r="K270" s="339">
        <f t="shared" si="18"/>
        <v>39</v>
      </c>
    </row>
    <row r="271" spans="1:11" ht="12.75">
      <c r="A271" s="21"/>
      <c r="B271" s="273"/>
      <c r="C271" s="90" t="str">
        <f>'C. Masterfiles'!C78</f>
        <v>End</v>
      </c>
      <c r="D271" s="90" t="str">
        <f>'C. Masterfiles'!D78</f>
        <v>End of list</v>
      </c>
      <c r="E271" s="141"/>
      <c r="F271" s="141"/>
      <c r="G271" s="141"/>
      <c r="H271" s="141"/>
      <c r="I271" s="141"/>
      <c r="J271" s="141"/>
      <c r="K271" s="14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</sheetData>
  <sheetProtection/>
  <mergeCells count="11">
    <mergeCell ref="D103:E103"/>
    <mergeCell ref="D97:E97"/>
    <mergeCell ref="D98:E98"/>
    <mergeCell ref="D99:E99"/>
    <mergeCell ref="D100:E100"/>
    <mergeCell ref="D101:E101"/>
    <mergeCell ref="D102:E102"/>
    <mergeCell ref="D93:E93"/>
    <mergeCell ref="D94:E94"/>
    <mergeCell ref="D95:E95"/>
    <mergeCell ref="D96:E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AX111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20.421875" style="1" customWidth="1"/>
    <col min="4" max="4" width="38.57421875" style="1" customWidth="1"/>
    <col min="5" max="5" width="15.57421875" style="1" customWidth="1"/>
    <col min="6" max="10" width="17.7109375" style="1" customWidth="1"/>
    <col min="11" max="15" width="11.421875" style="1" customWidth="1"/>
    <col min="16" max="20" width="12.7109375" style="1" customWidth="1"/>
    <col min="21" max="21" width="11.00390625" style="97" customWidth="1"/>
    <col min="22" max="22" width="11.00390625" style="88" customWidth="1"/>
    <col min="23" max="23" width="11.421875" style="1" bestFit="1" customWidth="1"/>
    <col min="24" max="25" width="9.140625" style="1" customWidth="1"/>
    <col min="26" max="26" width="13.57421875" style="1" customWidth="1"/>
    <col min="27" max="41" width="13.28125" style="1" customWidth="1"/>
    <col min="42" max="42" width="9.140625" style="1" customWidth="1"/>
    <col min="43" max="43" width="10.140625" style="73" customWidth="1"/>
    <col min="44" max="45" width="9.140625" style="1" customWidth="1"/>
    <col min="46" max="46" width="23.00390625" style="1" customWidth="1"/>
    <col min="47" max="16384" width="9.140625" style="1" customWidth="1"/>
  </cols>
  <sheetData>
    <row r="1" spans="1:42" s="21" customFormat="1" ht="26.25">
      <c r="A1" s="20">
        <v>7</v>
      </c>
      <c r="B1" s="22" t="s">
        <v>738</v>
      </c>
      <c r="D1" s="23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36"/>
      <c r="V1" s="23"/>
      <c r="AP1" s="1"/>
    </row>
    <row r="2" ht="12.75">
      <c r="C2" s="126"/>
    </row>
    <row r="3" spans="2:9" ht="12.75">
      <c r="B3" s="598" t="s">
        <v>247</v>
      </c>
      <c r="C3" s="257" t="s">
        <v>297</v>
      </c>
      <c r="D3" s="280"/>
      <c r="E3" s="280"/>
      <c r="F3" s="280"/>
      <c r="G3" s="280"/>
      <c r="H3" s="280"/>
      <c r="I3" s="280"/>
    </row>
    <row r="4" spans="2:9" ht="12.75">
      <c r="B4" s="599" t="s">
        <v>249</v>
      </c>
      <c r="C4" s="244" t="s">
        <v>319</v>
      </c>
      <c r="D4" s="243"/>
      <c r="E4" s="243"/>
      <c r="F4" s="243"/>
      <c r="G4" s="243"/>
      <c r="H4" s="243"/>
      <c r="I4" s="243"/>
    </row>
    <row r="5" spans="2:9" ht="12.75">
      <c r="B5" s="600" t="s">
        <v>251</v>
      </c>
      <c r="C5" s="323" t="s">
        <v>165</v>
      </c>
      <c r="D5" s="324"/>
      <c r="E5" s="324"/>
      <c r="F5" s="324"/>
      <c r="G5" s="324"/>
      <c r="H5" s="324"/>
      <c r="I5" s="324"/>
    </row>
    <row r="6" spans="2:9" ht="12.75">
      <c r="B6" s="600"/>
      <c r="C6" s="323" t="s">
        <v>166</v>
      </c>
      <c r="D6" s="324"/>
      <c r="E6" s="324"/>
      <c r="F6" s="324"/>
      <c r="G6" s="324"/>
      <c r="H6" s="324"/>
      <c r="I6" s="324"/>
    </row>
    <row r="7" spans="2:9" ht="12.75">
      <c r="B7" s="601" t="s">
        <v>252</v>
      </c>
      <c r="C7" s="258" t="s">
        <v>320</v>
      </c>
      <c r="D7" s="281"/>
      <c r="E7" s="281"/>
      <c r="F7" s="281"/>
      <c r="G7" s="281"/>
      <c r="H7" s="281"/>
      <c r="I7" s="281"/>
    </row>
    <row r="8" spans="2:9" ht="12.75">
      <c r="B8" s="601"/>
      <c r="C8" s="258" t="s">
        <v>321</v>
      </c>
      <c r="D8" s="281"/>
      <c r="E8" s="281"/>
      <c r="F8" s="281"/>
      <c r="G8" s="281"/>
      <c r="H8" s="281"/>
      <c r="I8" s="281"/>
    </row>
    <row r="9" spans="2:9" ht="12.75">
      <c r="B9" s="602" t="s">
        <v>254</v>
      </c>
      <c r="C9" s="259" t="s">
        <v>298</v>
      </c>
      <c r="D9" s="255"/>
      <c r="E9" s="255"/>
      <c r="F9" s="255"/>
      <c r="G9" s="255"/>
      <c r="H9" s="255"/>
      <c r="I9" s="255"/>
    </row>
    <row r="10" spans="2:44" s="21" customFormat="1" ht="12.75">
      <c r="B10" s="25"/>
      <c r="C10" s="85"/>
      <c r="D10" s="23"/>
      <c r="E10" s="24"/>
      <c r="G10" s="118"/>
      <c r="H10" s="118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4"/>
      <c r="V10" s="23"/>
      <c r="AP10" s="1"/>
      <c r="AQ10" s="73"/>
      <c r="AR10" s="1"/>
    </row>
    <row r="11" ht="12.75"/>
    <row r="12" spans="1:46" ht="15.75">
      <c r="A12" s="28"/>
      <c r="B12" s="267">
        <f>A1+0.01</f>
        <v>7.01</v>
      </c>
      <c r="C12" s="29" t="s">
        <v>762</v>
      </c>
      <c r="D12" s="28"/>
      <c r="E12" s="30"/>
      <c r="F12" s="30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30"/>
      <c r="V12" s="347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S12" s="28"/>
      <c r="AT12" s="28"/>
    </row>
    <row r="13" ht="12.75"/>
    <row r="14" spans="10:20" ht="12.75"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3:41" ht="12.75">
      <c r="C15" s="707" t="s">
        <v>636</v>
      </c>
      <c r="D15" s="708"/>
      <c r="E15" s="166"/>
      <c r="F15" s="199" t="s">
        <v>749</v>
      </c>
      <c r="G15" s="199"/>
      <c r="H15" s="199"/>
      <c r="I15" s="199"/>
      <c r="J15" s="200"/>
      <c r="K15" s="201" t="s">
        <v>751</v>
      </c>
      <c r="L15" s="201"/>
      <c r="M15" s="201"/>
      <c r="N15" s="201"/>
      <c r="O15" s="202"/>
      <c r="P15" s="203" t="s">
        <v>754</v>
      </c>
      <c r="Q15" s="203"/>
      <c r="R15" s="203"/>
      <c r="S15" s="203"/>
      <c r="T15" s="204"/>
      <c r="U15" s="205" t="s">
        <v>757</v>
      </c>
      <c r="V15" s="357"/>
      <c r="W15" s="206"/>
      <c r="X15" s="206"/>
      <c r="Y15" s="206"/>
      <c r="Z15" s="206"/>
      <c r="AA15" s="203" t="s">
        <v>755</v>
      </c>
      <c r="AB15" s="203"/>
      <c r="AC15" s="203"/>
      <c r="AD15" s="203"/>
      <c r="AE15" s="204"/>
      <c r="AF15" s="207" t="s">
        <v>758</v>
      </c>
      <c r="AG15" s="207"/>
      <c r="AH15" s="207"/>
      <c r="AI15" s="207"/>
      <c r="AJ15" s="208"/>
      <c r="AK15" s="209" t="s">
        <v>760</v>
      </c>
      <c r="AL15" s="209"/>
      <c r="AM15" s="209"/>
      <c r="AN15" s="209"/>
      <c r="AO15" s="210"/>
    </row>
    <row r="16" spans="3:41" ht="12.75">
      <c r="C16" s="166"/>
      <c r="D16" s="166"/>
      <c r="E16" s="166"/>
      <c r="F16" s="166">
        <f>'C. Masterfiles'!E99</f>
        <v>2008</v>
      </c>
      <c r="G16" s="166">
        <f>'C. Masterfiles'!F99</f>
        <v>2009</v>
      </c>
      <c r="H16" s="166">
        <f>'C. Masterfiles'!G99</f>
        <v>2010</v>
      </c>
      <c r="I16" s="166">
        <f>'C. Masterfiles'!H99</f>
        <v>2011</v>
      </c>
      <c r="J16" s="166">
        <f>'C. Masterfiles'!I99</f>
        <v>2012</v>
      </c>
      <c r="K16" s="166">
        <f>F16</f>
        <v>2008</v>
      </c>
      <c r="L16" s="166">
        <f>G16</f>
        <v>2009</v>
      </c>
      <c r="M16" s="166">
        <f>H16</f>
        <v>2010</v>
      </c>
      <c r="N16" s="166">
        <f>I16</f>
        <v>2011</v>
      </c>
      <c r="O16" s="166">
        <f>J16</f>
        <v>2012</v>
      </c>
      <c r="P16" s="166">
        <f>F16</f>
        <v>2008</v>
      </c>
      <c r="Q16" s="166">
        <f>G16</f>
        <v>2009</v>
      </c>
      <c r="R16" s="166">
        <f>H16</f>
        <v>2010</v>
      </c>
      <c r="S16" s="166">
        <f>I16</f>
        <v>2011</v>
      </c>
      <c r="T16" s="166">
        <f>J16</f>
        <v>2012</v>
      </c>
      <c r="U16" s="184"/>
      <c r="V16" s="358"/>
      <c r="W16" s="184"/>
      <c r="X16" s="184"/>
      <c r="Y16" s="184"/>
      <c r="Z16" s="184"/>
      <c r="AA16" s="166">
        <f>K16</f>
        <v>2008</v>
      </c>
      <c r="AB16" s="166">
        <f>L16</f>
        <v>2009</v>
      </c>
      <c r="AC16" s="166">
        <f>M16</f>
        <v>2010</v>
      </c>
      <c r="AD16" s="166">
        <f>N16</f>
        <v>2011</v>
      </c>
      <c r="AE16" s="166">
        <f>O16</f>
        <v>2012</v>
      </c>
      <c r="AF16" s="166">
        <f aca="true" t="shared" si="0" ref="AF16:AO16">AA16</f>
        <v>2008</v>
      </c>
      <c r="AG16" s="166">
        <f t="shared" si="0"/>
        <v>2009</v>
      </c>
      <c r="AH16" s="166">
        <f t="shared" si="0"/>
        <v>2010</v>
      </c>
      <c r="AI16" s="166">
        <f t="shared" si="0"/>
        <v>2011</v>
      </c>
      <c r="AJ16" s="166">
        <f t="shared" si="0"/>
        <v>2012</v>
      </c>
      <c r="AK16" s="166">
        <f t="shared" si="0"/>
        <v>2008</v>
      </c>
      <c r="AL16" s="166">
        <f t="shared" si="0"/>
        <v>2009</v>
      </c>
      <c r="AM16" s="166">
        <f t="shared" si="0"/>
        <v>2010</v>
      </c>
      <c r="AN16" s="166">
        <f t="shared" si="0"/>
        <v>2011</v>
      </c>
      <c r="AO16" s="166">
        <f t="shared" si="0"/>
        <v>2012</v>
      </c>
    </row>
    <row r="17" spans="1:50" s="97" customFormat="1" ht="12.75">
      <c r="A17" s="1"/>
      <c r="B17" s="54"/>
      <c r="C17" s="166"/>
      <c r="D17" s="166"/>
      <c r="E17" s="166"/>
      <c r="F17" s="166" t="s">
        <v>740</v>
      </c>
      <c r="G17" s="166" t="s">
        <v>740</v>
      </c>
      <c r="H17" s="166" t="s">
        <v>740</v>
      </c>
      <c r="I17" s="166" t="s">
        <v>740</v>
      </c>
      <c r="J17" s="166" t="s">
        <v>740</v>
      </c>
      <c r="K17" s="166" t="str">
        <f>'C. Masterfiles'!$D$110</f>
        <v>Euro</v>
      </c>
      <c r="L17" s="166" t="str">
        <f aca="true" t="shared" si="1" ref="L17:O18">K17</f>
        <v>Euro</v>
      </c>
      <c r="M17" s="166" t="str">
        <f t="shared" si="1"/>
        <v>Euro</v>
      </c>
      <c r="N17" s="166" t="str">
        <f t="shared" si="1"/>
        <v>Euro</v>
      </c>
      <c r="O17" s="166" t="str">
        <f t="shared" si="1"/>
        <v>Euro</v>
      </c>
      <c r="P17" s="166" t="str">
        <f>'C. Masterfiles'!$D$110</f>
        <v>Euro</v>
      </c>
      <c r="Q17" s="166" t="str">
        <f aca="true" t="shared" si="2" ref="Q17:T18">P17</f>
        <v>Euro</v>
      </c>
      <c r="R17" s="166" t="str">
        <f t="shared" si="2"/>
        <v>Euro</v>
      </c>
      <c r="S17" s="166" t="str">
        <f t="shared" si="2"/>
        <v>Euro</v>
      </c>
      <c r="T17" s="166" t="str">
        <f t="shared" si="2"/>
        <v>Euro</v>
      </c>
      <c r="U17" s="166" t="s">
        <v>601</v>
      </c>
      <c r="V17" s="227" t="s">
        <v>601</v>
      </c>
      <c r="W17" s="166" t="s">
        <v>632</v>
      </c>
      <c r="X17" s="166" t="s">
        <v>601</v>
      </c>
      <c r="Y17" s="166" t="s">
        <v>601</v>
      </c>
      <c r="Z17" s="166" t="s">
        <v>601</v>
      </c>
      <c r="AA17" s="166" t="str">
        <f>'C. Masterfiles'!$D$110</f>
        <v>Euro</v>
      </c>
      <c r="AB17" s="166" t="str">
        <f aca="true" t="shared" si="3" ref="AB17:AE18">AA17</f>
        <v>Euro</v>
      </c>
      <c r="AC17" s="166" t="str">
        <f t="shared" si="3"/>
        <v>Euro</v>
      </c>
      <c r="AD17" s="166" t="str">
        <f t="shared" si="3"/>
        <v>Euro</v>
      </c>
      <c r="AE17" s="166" t="str">
        <f t="shared" si="3"/>
        <v>Euro</v>
      </c>
      <c r="AF17" s="166" t="str">
        <f>'C. Masterfiles'!$D$110</f>
        <v>Euro</v>
      </c>
      <c r="AG17" s="166" t="str">
        <f aca="true" t="shared" si="4" ref="AG17:AJ18">AF17</f>
        <v>Euro</v>
      </c>
      <c r="AH17" s="166" t="str">
        <f t="shared" si="4"/>
        <v>Euro</v>
      </c>
      <c r="AI17" s="166" t="str">
        <f t="shared" si="4"/>
        <v>Euro</v>
      </c>
      <c r="AJ17" s="166" t="str">
        <f t="shared" si="4"/>
        <v>Euro</v>
      </c>
      <c r="AK17" s="166" t="str">
        <f>'C. Masterfiles'!$D$110</f>
        <v>Euro</v>
      </c>
      <c r="AL17" s="166" t="str">
        <f aca="true" t="shared" si="5" ref="AL17:AO18">AK17</f>
        <v>Euro</v>
      </c>
      <c r="AM17" s="166" t="str">
        <f t="shared" si="5"/>
        <v>Euro</v>
      </c>
      <c r="AN17" s="184" t="str">
        <f t="shared" si="5"/>
        <v>Euro</v>
      </c>
      <c r="AO17" s="166" t="str">
        <f t="shared" si="5"/>
        <v>Euro</v>
      </c>
      <c r="AP17" s="1"/>
      <c r="AQ17" s="73"/>
      <c r="AR17" s="1"/>
      <c r="AU17" s="1"/>
      <c r="AV17" s="1"/>
      <c r="AW17" s="1"/>
      <c r="AX17" s="1"/>
    </row>
    <row r="18" spans="1:50" s="163" customFormat="1" ht="59.25" customHeight="1">
      <c r="A18" s="1"/>
      <c r="B18" s="274"/>
      <c r="C18" s="164" t="s">
        <v>634</v>
      </c>
      <c r="D18" s="164" t="s">
        <v>719</v>
      </c>
      <c r="E18" s="164" t="s">
        <v>633</v>
      </c>
      <c r="F18" s="164" t="s">
        <v>750</v>
      </c>
      <c r="G18" s="165" t="str">
        <f>F18</f>
        <v>Equipment Volumes</v>
      </c>
      <c r="H18" s="165" t="str">
        <f>G18</f>
        <v>Equipment Volumes</v>
      </c>
      <c r="I18" s="165" t="str">
        <f>H18</f>
        <v>Equipment Volumes</v>
      </c>
      <c r="J18" s="165" t="str">
        <f>I18</f>
        <v>Equipment Volumes</v>
      </c>
      <c r="K18" s="165" t="s">
        <v>752</v>
      </c>
      <c r="L18" s="165" t="str">
        <f t="shared" si="1"/>
        <v>Unit Inv + Install</v>
      </c>
      <c r="M18" s="165" t="str">
        <f t="shared" si="1"/>
        <v>Unit Inv + Install</v>
      </c>
      <c r="N18" s="165" t="str">
        <f t="shared" si="1"/>
        <v>Unit Inv + Install</v>
      </c>
      <c r="O18" s="165" t="str">
        <f t="shared" si="1"/>
        <v>Unit Inv + Install</v>
      </c>
      <c r="P18" s="165" t="s">
        <v>753</v>
      </c>
      <c r="Q18" s="165" t="str">
        <f t="shared" si="2"/>
        <v>Capital inv</v>
      </c>
      <c r="R18" s="165" t="str">
        <f t="shared" si="2"/>
        <v>Capital inv</v>
      </c>
      <c r="S18" s="165" t="str">
        <f t="shared" si="2"/>
        <v>Capital inv</v>
      </c>
      <c r="T18" s="165" t="str">
        <f t="shared" si="2"/>
        <v>Capital inv</v>
      </c>
      <c r="U18" s="165" t="s">
        <v>744</v>
      </c>
      <c r="V18" s="359" t="s">
        <v>743</v>
      </c>
      <c r="W18" s="165" t="s">
        <v>741</v>
      </c>
      <c r="X18" s="359" t="s">
        <v>24</v>
      </c>
      <c r="Y18" s="165" t="s">
        <v>742</v>
      </c>
      <c r="Z18" s="165" t="s">
        <v>761</v>
      </c>
      <c r="AA18" s="165" t="s">
        <v>756</v>
      </c>
      <c r="AB18" s="165" t="str">
        <f t="shared" si="3"/>
        <v>Annual capital cost</v>
      </c>
      <c r="AC18" s="165" t="str">
        <f t="shared" si="3"/>
        <v>Annual capital cost</v>
      </c>
      <c r="AD18" s="165" t="str">
        <f t="shared" si="3"/>
        <v>Annual capital cost</v>
      </c>
      <c r="AE18" s="165" t="str">
        <f t="shared" si="3"/>
        <v>Annual capital cost</v>
      </c>
      <c r="AF18" s="165" t="s">
        <v>759</v>
      </c>
      <c r="AG18" s="165" t="str">
        <f t="shared" si="4"/>
        <v>Annual operating cost</v>
      </c>
      <c r="AH18" s="165" t="str">
        <f t="shared" si="4"/>
        <v>Annual operating cost</v>
      </c>
      <c r="AI18" s="165" t="str">
        <f t="shared" si="4"/>
        <v>Annual operating cost</v>
      </c>
      <c r="AJ18" s="165" t="str">
        <f t="shared" si="4"/>
        <v>Annual operating cost</v>
      </c>
      <c r="AK18" s="165" t="s">
        <v>746</v>
      </c>
      <c r="AL18" s="165" t="str">
        <f t="shared" si="5"/>
        <v>Total Annual Cost</v>
      </c>
      <c r="AM18" s="165" t="str">
        <f t="shared" si="5"/>
        <v>Total Annual Cost</v>
      </c>
      <c r="AN18" s="165" t="str">
        <f t="shared" si="5"/>
        <v>Total Annual Cost</v>
      </c>
      <c r="AO18" s="165" t="str">
        <f t="shared" si="5"/>
        <v>Total Annual Cost</v>
      </c>
      <c r="AP18" s="1"/>
      <c r="AQ18" s="73"/>
      <c r="AR18" s="1"/>
      <c r="AU18" s="1"/>
      <c r="AV18" s="1"/>
      <c r="AW18" s="1"/>
      <c r="AX18" s="1"/>
    </row>
    <row r="19" spans="3:41" ht="12.75">
      <c r="C19" s="160" t="str">
        <f>'C. Masterfiles'!C53</f>
        <v>N01</v>
      </c>
      <c r="D19" s="160" t="str">
        <f>'C. Masterfiles'!D53</f>
        <v>Remote Access Unit</v>
      </c>
      <c r="E19" s="160" t="str">
        <f>'C. Masterfiles'!E53</f>
        <v>RAU</v>
      </c>
      <c r="F19" s="353">
        <f>'6.Network Design'!G248</f>
        <v>430</v>
      </c>
      <c r="G19" s="353">
        <f>'6.Network Design'!H248</f>
        <v>523</v>
      </c>
      <c r="H19" s="353">
        <f>'6.Network Design'!I248</f>
        <v>618</v>
      </c>
      <c r="I19" s="353">
        <f>'6.Network Design'!J248</f>
        <v>717</v>
      </c>
      <c r="J19" s="353">
        <f>'6.Network Design'!K248</f>
        <v>820</v>
      </c>
      <c r="K19" s="354">
        <f>'5.Unit investment&amp;opex'!Q104</f>
        <v>46000</v>
      </c>
      <c r="L19" s="354">
        <f>'5.Unit investment&amp;opex'!R104</f>
        <v>44300</v>
      </c>
      <c r="M19" s="354">
        <f>'5.Unit investment&amp;opex'!S104</f>
        <v>42715</v>
      </c>
      <c r="N19" s="354">
        <f>'5.Unit investment&amp;opex'!T104</f>
        <v>41240.75</v>
      </c>
      <c r="O19" s="354">
        <f>'5.Unit investment&amp;opex'!U104</f>
        <v>39873.2875</v>
      </c>
      <c r="P19" s="355">
        <f>F19*K19</f>
        <v>19780000</v>
      </c>
      <c r="Q19" s="355">
        <f>G19*L19</f>
        <v>23168900</v>
      </c>
      <c r="R19" s="355">
        <f>H19*M19</f>
        <v>26397870</v>
      </c>
      <c r="S19" s="355">
        <f>I19*N19</f>
        <v>29569617.75</v>
      </c>
      <c r="T19" s="355">
        <f>J19*O19</f>
        <v>32696095.75</v>
      </c>
      <c r="U19" s="363">
        <f>'B. Dashboard'!F$41</f>
        <v>0.14</v>
      </c>
      <c r="V19" s="363">
        <v>0</v>
      </c>
      <c r="W19" s="354">
        <f>'5.Unit investment&amp;opex'!H16</f>
        <v>10</v>
      </c>
      <c r="X19" s="363">
        <v>0.2</v>
      </c>
      <c r="Y19" s="361">
        <f aca="true" t="shared" si="6" ref="Y19:Y28">Z19-U19</f>
        <v>0.04137083267478098</v>
      </c>
      <c r="Z19" s="361">
        <f>(1-X19/((1+U19)^W19))*(U19-V19)/(1-((1+V19)/(1+U19))^W19)</f>
        <v>0.181370832674781</v>
      </c>
      <c r="AA19" s="355">
        <f aca="true" t="shared" si="7" ref="AA19:AA28">P19*$Z19</f>
        <v>3587515.070307168</v>
      </c>
      <c r="AB19" s="355">
        <f aca="true" t="shared" si="8" ref="AB19:AB28">Q19*$Z19</f>
        <v>4202162.685158733</v>
      </c>
      <c r="AC19" s="355">
        <f aca="true" t="shared" si="9" ref="AC19:AC28">R19*$Z19</f>
        <v>4787803.662740621</v>
      </c>
      <c r="AD19" s="355">
        <f aca="true" t="shared" si="10" ref="AD19:AD28">S19*$Z19</f>
        <v>5363066.193192484</v>
      </c>
      <c r="AE19" s="355">
        <f aca="true" t="shared" si="11" ref="AE19:AE28">T19*$Z19</f>
        <v>5930118.1113918675</v>
      </c>
      <c r="AF19" s="355">
        <f>F19*'5.Unit investment&amp;opex'!V104</f>
        <v>1582400</v>
      </c>
      <c r="AG19" s="355">
        <f>G19*'5.Unit investment&amp;opex'!W104</f>
        <v>2020872</v>
      </c>
      <c r="AH19" s="355">
        <f>H19*'5.Unit investment&amp;opex'!X104</f>
        <v>2507349.6</v>
      </c>
      <c r="AI19" s="355">
        <f>I19*'5.Unit investment&amp;opex'!Y104</f>
        <v>3054463.0200000005</v>
      </c>
      <c r="AJ19" s="355">
        <f>J19*'5.Unit investment&amp;opex'!Z104</f>
        <v>3667911.6600000006</v>
      </c>
      <c r="AK19" s="428">
        <f>AA19+AF19</f>
        <v>5169915.070307168</v>
      </c>
      <c r="AL19" s="428">
        <f>AB19+AG19</f>
        <v>6223034.685158733</v>
      </c>
      <c r="AM19" s="428">
        <f>AC19+AH19</f>
        <v>7295153.262740621</v>
      </c>
      <c r="AN19" s="428">
        <f>AD19+AI19</f>
        <v>8417529.213192485</v>
      </c>
      <c r="AO19" s="428">
        <f>AE19+AJ19</f>
        <v>9598029.771391869</v>
      </c>
    </row>
    <row r="20" spans="3:41" ht="12.75">
      <c r="C20" s="160" t="str">
        <f>'C. Masterfiles'!C54</f>
        <v>N02</v>
      </c>
      <c r="D20" s="160" t="str">
        <f>'C. Masterfiles'!D54</f>
        <v>Local Switch</v>
      </c>
      <c r="E20" s="160" t="str">
        <f>'C. Masterfiles'!E54</f>
        <v>LS</v>
      </c>
      <c r="F20" s="353">
        <f>'6.Network Design'!G249</f>
        <v>644</v>
      </c>
      <c r="G20" s="353">
        <f>'6.Network Design'!H249</f>
        <v>578</v>
      </c>
      <c r="H20" s="353">
        <f>'6.Network Design'!I249</f>
        <v>505</v>
      </c>
      <c r="I20" s="353">
        <f>'6.Network Design'!J249</f>
        <v>430</v>
      </c>
      <c r="J20" s="353">
        <f>'6.Network Design'!K249</f>
        <v>352</v>
      </c>
      <c r="K20" s="354">
        <f>'5.Unit investment&amp;opex'!Q105</f>
        <v>57500</v>
      </c>
      <c r="L20" s="354">
        <f>'5.Unit investment&amp;opex'!R105</f>
        <v>55375</v>
      </c>
      <c r="M20" s="354">
        <f>'5.Unit investment&amp;opex'!S105</f>
        <v>53393.75</v>
      </c>
      <c r="N20" s="354">
        <f>'5.Unit investment&amp;opex'!T105</f>
        <v>51550.9375</v>
      </c>
      <c r="O20" s="354">
        <f>'5.Unit investment&amp;opex'!U105</f>
        <v>49841.609375</v>
      </c>
      <c r="P20" s="355">
        <f aca="true" t="shared" si="12" ref="P20:P28">F20*K20</f>
        <v>37030000</v>
      </c>
      <c r="Q20" s="355">
        <f aca="true" t="shared" si="13" ref="Q20:Q28">G20*L20</f>
        <v>32006750</v>
      </c>
      <c r="R20" s="355">
        <f aca="true" t="shared" si="14" ref="R20:R28">H20*M20</f>
        <v>26963843.75</v>
      </c>
      <c r="S20" s="355">
        <f aca="true" t="shared" si="15" ref="S20:S28">I20*N20</f>
        <v>22166903.125</v>
      </c>
      <c r="T20" s="355">
        <f aca="true" t="shared" si="16" ref="T20:T28">J20*O20</f>
        <v>17544246.5</v>
      </c>
      <c r="U20" s="363">
        <f>'B. Dashboard'!F$41</f>
        <v>0.14</v>
      </c>
      <c r="V20" s="363">
        <f>'5.Unit investment&amp;opex'!J17</f>
        <v>-0.05</v>
      </c>
      <c r="W20" s="354">
        <f>'5.Unit investment&amp;opex'!H17</f>
        <v>10</v>
      </c>
      <c r="X20" s="363">
        <f>'B. Dashboard'!F$45</f>
        <v>0.2</v>
      </c>
      <c r="Y20" s="361">
        <f t="shared" si="6"/>
        <v>0.07437201198999488</v>
      </c>
      <c r="Z20" s="361">
        <f aca="true" t="shared" si="17" ref="Z20:Z28">(1-X20/((1+U20)^W20))*(U20-V20)/(1-((1+V20)/(1+U20))^W20)</f>
        <v>0.2143720119899949</v>
      </c>
      <c r="AA20" s="355">
        <f t="shared" si="7"/>
        <v>7938195.603989511</v>
      </c>
      <c r="AB20" s="355">
        <f t="shared" si="8"/>
        <v>6861351.394760769</v>
      </c>
      <c r="AC20" s="355">
        <f t="shared" si="9"/>
        <v>5780293.435671349</v>
      </c>
      <c r="AD20" s="355">
        <f t="shared" si="10"/>
        <v>4751963.622493555</v>
      </c>
      <c r="AE20" s="355">
        <f t="shared" si="11"/>
        <v>3760995.421053426</v>
      </c>
      <c r="AF20" s="355">
        <f>F20*'5.Unit investment&amp;opex'!V105</f>
        <v>2962400</v>
      </c>
      <c r="AG20" s="355">
        <f>G20*'5.Unit investment&amp;opex'!W105</f>
        <v>2791740</v>
      </c>
      <c r="AH20" s="355">
        <f>H20*'5.Unit investment&amp;opex'!X105</f>
        <v>2561107.5</v>
      </c>
      <c r="AI20" s="355">
        <f>I20*'5.Unit investment&amp;opex'!Y105</f>
        <v>2289782.25</v>
      </c>
      <c r="AJ20" s="355">
        <f>J20*'5.Unit investment&amp;opex'!Z105</f>
        <v>1968147.72</v>
      </c>
      <c r="AK20" s="428">
        <f aca="true" t="shared" si="18" ref="AK20:AK28">AA20+AF20</f>
        <v>10900595.603989512</v>
      </c>
      <c r="AL20" s="428">
        <f aca="true" t="shared" si="19" ref="AL20:AL28">AB20+AG20</f>
        <v>9653091.394760769</v>
      </c>
      <c r="AM20" s="428">
        <f aca="true" t="shared" si="20" ref="AM20:AM28">AC20+AH20</f>
        <v>8341400.935671349</v>
      </c>
      <c r="AN20" s="428">
        <f aca="true" t="shared" si="21" ref="AN20:AN28">AD20+AI20</f>
        <v>7041745.872493555</v>
      </c>
      <c r="AO20" s="428">
        <f aca="true" t="shared" si="22" ref="AO20:AO28">AE20+AJ20</f>
        <v>5729143.141053426</v>
      </c>
    </row>
    <row r="21" spans="3:41" ht="12.75">
      <c r="C21" s="160" t="str">
        <f>'C. Masterfiles'!C55</f>
        <v>N03</v>
      </c>
      <c r="D21" s="160" t="str">
        <f>'C. Masterfiles'!D55</f>
        <v>Tandem Switch</v>
      </c>
      <c r="E21" s="160" t="str">
        <f>'C. Masterfiles'!E55</f>
        <v>TS</v>
      </c>
      <c r="F21" s="353">
        <f>'6.Network Design'!G250</f>
        <v>36</v>
      </c>
      <c r="G21" s="353">
        <f>'6.Network Design'!H250</f>
        <v>33</v>
      </c>
      <c r="H21" s="353">
        <f>'6.Network Design'!I250</f>
        <v>32</v>
      </c>
      <c r="I21" s="353">
        <f>'6.Network Design'!J250</f>
        <v>31</v>
      </c>
      <c r="J21" s="353">
        <f>'6.Network Design'!K250</f>
        <v>29</v>
      </c>
      <c r="K21" s="354">
        <f>'5.Unit investment&amp;opex'!Q106</f>
        <v>115000</v>
      </c>
      <c r="L21" s="354">
        <f>'5.Unit investment&amp;opex'!R106</f>
        <v>110750</v>
      </c>
      <c r="M21" s="354">
        <f>'5.Unit investment&amp;opex'!S106</f>
        <v>106787.5</v>
      </c>
      <c r="N21" s="354">
        <f>'5.Unit investment&amp;opex'!T106</f>
        <v>103101.875</v>
      </c>
      <c r="O21" s="354">
        <f>'5.Unit investment&amp;opex'!U106</f>
        <v>99683.21875</v>
      </c>
      <c r="P21" s="355">
        <f t="shared" si="12"/>
        <v>4140000</v>
      </c>
      <c r="Q21" s="355">
        <f t="shared" si="13"/>
        <v>3654750</v>
      </c>
      <c r="R21" s="355">
        <f t="shared" si="14"/>
        <v>3417200</v>
      </c>
      <c r="S21" s="355">
        <f t="shared" si="15"/>
        <v>3196158.125</v>
      </c>
      <c r="T21" s="355">
        <f t="shared" si="16"/>
        <v>2890813.34375</v>
      </c>
      <c r="U21" s="363">
        <f>'B. Dashboard'!F$41</f>
        <v>0.14</v>
      </c>
      <c r="V21" s="363">
        <f>'5.Unit investment&amp;opex'!J18</f>
        <v>-0.05</v>
      </c>
      <c r="W21" s="354">
        <f>'5.Unit investment&amp;opex'!H18</f>
        <v>10</v>
      </c>
      <c r="X21" s="363">
        <f>'B. Dashboard'!F$45</f>
        <v>0.2</v>
      </c>
      <c r="Y21" s="361">
        <f t="shared" si="6"/>
        <v>0.07437201198999488</v>
      </c>
      <c r="Z21" s="361">
        <f t="shared" si="17"/>
        <v>0.2143720119899949</v>
      </c>
      <c r="AA21" s="355">
        <f t="shared" si="7"/>
        <v>887500.1296385789</v>
      </c>
      <c r="AB21" s="355">
        <f t="shared" si="8"/>
        <v>783476.1108204338</v>
      </c>
      <c r="AC21" s="355">
        <f t="shared" si="9"/>
        <v>732552.0393722105</v>
      </c>
      <c r="AD21" s="355">
        <f t="shared" si="10"/>
        <v>685166.8478944196</v>
      </c>
      <c r="AE21" s="355">
        <f t="shared" si="11"/>
        <v>619709.4727872122</v>
      </c>
      <c r="AF21" s="355">
        <f>F21*'5.Unit investment&amp;opex'!V106</f>
        <v>331200</v>
      </c>
      <c r="AG21" s="355">
        <f>G21*'5.Unit investment&amp;opex'!W106</f>
        <v>318780</v>
      </c>
      <c r="AH21" s="355">
        <f>H21*'5.Unit investment&amp;opex'!X106</f>
        <v>324576</v>
      </c>
      <c r="AI21" s="355">
        <f>I21*'5.Unit investment&amp;opex'!Y106</f>
        <v>330154.64999999997</v>
      </c>
      <c r="AJ21" s="355">
        <f>J21*'5.Unit investment&amp;opex'!Z106</f>
        <v>324297.0675</v>
      </c>
      <c r="AK21" s="428">
        <f t="shared" si="18"/>
        <v>1218700.1296385787</v>
      </c>
      <c r="AL21" s="428">
        <f t="shared" si="19"/>
        <v>1102256.1108204338</v>
      </c>
      <c r="AM21" s="428">
        <f t="shared" si="20"/>
        <v>1057128.0393722104</v>
      </c>
      <c r="AN21" s="428">
        <f t="shared" si="21"/>
        <v>1015321.4978944196</v>
      </c>
      <c r="AO21" s="428">
        <f t="shared" si="22"/>
        <v>944006.5402872122</v>
      </c>
    </row>
    <row r="22" spans="3:41" ht="12.75">
      <c r="C22" s="160" t="str">
        <f>'C. Masterfiles'!C56</f>
        <v>N04</v>
      </c>
      <c r="D22" s="160" t="str">
        <f>'C. Masterfiles'!D56</f>
        <v>International switching centre</v>
      </c>
      <c r="E22" s="160" t="str">
        <f>'C. Masterfiles'!E56</f>
        <v>ISC</v>
      </c>
      <c r="F22" s="353">
        <f>'6.Network Design'!G251</f>
        <v>2</v>
      </c>
      <c r="G22" s="353">
        <f>'6.Network Design'!H251</f>
        <v>2</v>
      </c>
      <c r="H22" s="353">
        <f>'6.Network Design'!I251</f>
        <v>2</v>
      </c>
      <c r="I22" s="353">
        <f>'6.Network Design'!J251</f>
        <v>2</v>
      </c>
      <c r="J22" s="353">
        <f>'6.Network Design'!K251</f>
        <v>2</v>
      </c>
      <c r="K22" s="354">
        <f>'5.Unit investment&amp;opex'!Q107</f>
        <v>1150000</v>
      </c>
      <c r="L22" s="354">
        <f>'5.Unit investment&amp;opex'!R107</f>
        <v>1107500</v>
      </c>
      <c r="M22" s="354">
        <f>'5.Unit investment&amp;opex'!S107</f>
        <v>1067875</v>
      </c>
      <c r="N22" s="354">
        <f>'5.Unit investment&amp;opex'!T107</f>
        <v>1031018.75</v>
      </c>
      <c r="O22" s="354">
        <f>'5.Unit investment&amp;opex'!U107</f>
        <v>996832.1875</v>
      </c>
      <c r="P22" s="355">
        <f t="shared" si="12"/>
        <v>2300000</v>
      </c>
      <c r="Q22" s="355">
        <f t="shared" si="13"/>
        <v>2215000</v>
      </c>
      <c r="R22" s="355">
        <f t="shared" si="14"/>
        <v>2135750</v>
      </c>
      <c r="S22" s="355">
        <f t="shared" si="15"/>
        <v>2062037.5</v>
      </c>
      <c r="T22" s="355">
        <f t="shared" si="16"/>
        <v>1993664.375</v>
      </c>
      <c r="U22" s="363">
        <f>'B. Dashboard'!F$41</f>
        <v>0.14</v>
      </c>
      <c r="V22" s="363">
        <f>'5.Unit investment&amp;opex'!J19</f>
        <v>-0.05</v>
      </c>
      <c r="W22" s="354">
        <f>'5.Unit investment&amp;opex'!H19</f>
        <v>10</v>
      </c>
      <c r="X22" s="363">
        <f>'B. Dashboard'!F$45</f>
        <v>0.2</v>
      </c>
      <c r="Y22" s="361">
        <f t="shared" si="6"/>
        <v>0.07437201198999488</v>
      </c>
      <c r="Z22" s="361">
        <f t="shared" si="17"/>
        <v>0.2143720119899949</v>
      </c>
      <c r="AA22" s="355">
        <f t="shared" si="7"/>
        <v>493055.62757698825</v>
      </c>
      <c r="AB22" s="355">
        <f t="shared" si="8"/>
        <v>474834.0065578387</v>
      </c>
      <c r="AC22" s="355">
        <f t="shared" si="9"/>
        <v>457845.0246076316</v>
      </c>
      <c r="AD22" s="355">
        <f t="shared" si="10"/>
        <v>442043.1276738191</v>
      </c>
      <c r="AE22" s="355">
        <f t="shared" si="11"/>
        <v>427385.8433015257</v>
      </c>
      <c r="AF22" s="355">
        <f>F22*'5.Unit investment&amp;opex'!V107</f>
        <v>184000</v>
      </c>
      <c r="AG22" s="355">
        <f>G22*'5.Unit investment&amp;opex'!W107</f>
        <v>193200</v>
      </c>
      <c r="AH22" s="355">
        <f>H22*'5.Unit investment&amp;opex'!X107</f>
        <v>202860</v>
      </c>
      <c r="AI22" s="355">
        <f>I22*'5.Unit investment&amp;opex'!Y107</f>
        <v>213003</v>
      </c>
      <c r="AJ22" s="355">
        <f>J22*'5.Unit investment&amp;opex'!Z107</f>
        <v>223653.15000000002</v>
      </c>
      <c r="AK22" s="428">
        <f t="shared" si="18"/>
        <v>677055.6275769882</v>
      </c>
      <c r="AL22" s="428">
        <f t="shared" si="19"/>
        <v>668034.0065578388</v>
      </c>
      <c r="AM22" s="428">
        <f t="shared" si="20"/>
        <v>660705.0246076316</v>
      </c>
      <c r="AN22" s="428">
        <f t="shared" si="21"/>
        <v>655046.1276738191</v>
      </c>
      <c r="AO22" s="428">
        <f t="shared" si="22"/>
        <v>651038.9933015257</v>
      </c>
    </row>
    <row r="23" spans="3:41" ht="12.75">
      <c r="C23" s="160" t="str">
        <f>'C. Masterfiles'!C57</f>
        <v>N05</v>
      </c>
      <c r="D23" s="160" t="str">
        <f>'C. Masterfiles'!D57</f>
        <v>Interconnect gateway</v>
      </c>
      <c r="E23" s="160" t="str">
        <f>'C. Masterfiles'!E57</f>
        <v>IGW</v>
      </c>
      <c r="F23" s="353">
        <f>'6.Network Design'!G252</f>
        <v>2</v>
      </c>
      <c r="G23" s="353">
        <f>'6.Network Design'!H252</f>
        <v>2</v>
      </c>
      <c r="H23" s="353">
        <f>'6.Network Design'!I252</f>
        <v>2</v>
      </c>
      <c r="I23" s="353">
        <f>'6.Network Design'!J252</f>
        <v>2</v>
      </c>
      <c r="J23" s="353">
        <f>'6.Network Design'!K252</f>
        <v>2</v>
      </c>
      <c r="K23" s="354">
        <f>'5.Unit investment&amp;opex'!Q108</f>
        <v>460000</v>
      </c>
      <c r="L23" s="354">
        <f>'5.Unit investment&amp;opex'!R108</f>
        <v>443000</v>
      </c>
      <c r="M23" s="354">
        <f>'5.Unit investment&amp;opex'!S108</f>
        <v>427150</v>
      </c>
      <c r="N23" s="354">
        <f>'5.Unit investment&amp;opex'!T108</f>
        <v>412407.5</v>
      </c>
      <c r="O23" s="354">
        <f>'5.Unit investment&amp;opex'!U108</f>
        <v>398732.875</v>
      </c>
      <c r="P23" s="355">
        <f t="shared" si="12"/>
        <v>920000</v>
      </c>
      <c r="Q23" s="355">
        <f t="shared" si="13"/>
        <v>886000</v>
      </c>
      <c r="R23" s="355">
        <f t="shared" si="14"/>
        <v>854300</v>
      </c>
      <c r="S23" s="355">
        <f t="shared" si="15"/>
        <v>824815</v>
      </c>
      <c r="T23" s="355">
        <f t="shared" si="16"/>
        <v>797465.75</v>
      </c>
      <c r="U23" s="363">
        <f>'B. Dashboard'!F$41</f>
        <v>0.14</v>
      </c>
      <c r="V23" s="363">
        <f>'5.Unit investment&amp;opex'!J20</f>
        <v>-0.05</v>
      </c>
      <c r="W23" s="354">
        <f>'5.Unit investment&amp;opex'!H20</f>
        <v>10</v>
      </c>
      <c r="X23" s="363">
        <f>'B. Dashboard'!F$45</f>
        <v>0.2</v>
      </c>
      <c r="Y23" s="361">
        <f t="shared" si="6"/>
        <v>0.07437201198999488</v>
      </c>
      <c r="Z23" s="361">
        <f t="shared" si="17"/>
        <v>0.2143720119899949</v>
      </c>
      <c r="AA23" s="355">
        <f t="shared" si="7"/>
        <v>197222.2510307953</v>
      </c>
      <c r="AB23" s="355">
        <f t="shared" si="8"/>
        <v>189933.60262313546</v>
      </c>
      <c r="AC23" s="355">
        <f t="shared" si="9"/>
        <v>183138.00984305263</v>
      </c>
      <c r="AD23" s="355">
        <f t="shared" si="10"/>
        <v>176817.25106952764</v>
      </c>
      <c r="AE23" s="355">
        <f t="shared" si="11"/>
        <v>170954.33732061027</v>
      </c>
      <c r="AF23" s="355">
        <f>F23*'5.Unit investment&amp;opex'!V108</f>
        <v>73600</v>
      </c>
      <c r="AG23" s="355">
        <f>G23*'5.Unit investment&amp;opex'!W108</f>
        <v>77280</v>
      </c>
      <c r="AH23" s="355">
        <f>H23*'5.Unit investment&amp;opex'!X108</f>
        <v>81144</v>
      </c>
      <c r="AI23" s="355">
        <f>I23*'5.Unit investment&amp;opex'!Y108</f>
        <v>85201.2</v>
      </c>
      <c r="AJ23" s="355">
        <f>J23*'5.Unit investment&amp;opex'!Z108</f>
        <v>89461.26</v>
      </c>
      <c r="AK23" s="428">
        <f t="shared" si="18"/>
        <v>270822.2510307953</v>
      </c>
      <c r="AL23" s="428">
        <f t="shared" si="19"/>
        <v>267213.60262313543</v>
      </c>
      <c r="AM23" s="428">
        <f t="shared" si="20"/>
        <v>264282.0098430526</v>
      </c>
      <c r="AN23" s="428">
        <f t="shared" si="21"/>
        <v>262018.45106952765</v>
      </c>
      <c r="AO23" s="428">
        <f t="shared" si="22"/>
        <v>260415.59732061025</v>
      </c>
    </row>
    <row r="24" spans="3:41" ht="12.75">
      <c r="C24" s="160" t="str">
        <f>'C. Masterfiles'!C58</f>
        <v>N06</v>
      </c>
      <c r="D24" s="160" t="str">
        <f>'C. Masterfiles'!D58</f>
        <v>Intelligent network </v>
      </c>
      <c r="E24" s="160" t="str">
        <f>'C. Masterfiles'!E58</f>
        <v>IN</v>
      </c>
      <c r="F24" s="353">
        <f>'6.Network Design'!G253</f>
        <v>1</v>
      </c>
      <c r="G24" s="353">
        <f>'6.Network Design'!H253</f>
        <v>1</v>
      </c>
      <c r="H24" s="353">
        <f>'6.Network Design'!I253</f>
        <v>1</v>
      </c>
      <c r="I24" s="353">
        <f>'6.Network Design'!J253</f>
        <v>1</v>
      </c>
      <c r="J24" s="353">
        <f>'6.Network Design'!K253</f>
        <v>1</v>
      </c>
      <c r="K24" s="354">
        <f>'5.Unit investment&amp;opex'!Q109</f>
        <v>4600000</v>
      </c>
      <c r="L24" s="354">
        <f>'5.Unit investment&amp;opex'!R109</f>
        <v>4550000</v>
      </c>
      <c r="M24" s="354">
        <f>'5.Unit investment&amp;opex'!S109</f>
        <v>4503100</v>
      </c>
      <c r="N24" s="354">
        <f>'5.Unit investment&amp;opex'!T109</f>
        <v>4459343</v>
      </c>
      <c r="O24" s="354">
        <f>'5.Unit investment&amp;opex'!U109</f>
        <v>4418776.390000001</v>
      </c>
      <c r="P24" s="355">
        <f t="shared" si="12"/>
        <v>4600000</v>
      </c>
      <c r="Q24" s="355">
        <f t="shared" si="13"/>
        <v>4550000</v>
      </c>
      <c r="R24" s="355">
        <f t="shared" si="14"/>
        <v>4503100</v>
      </c>
      <c r="S24" s="355">
        <f t="shared" si="15"/>
        <v>4459343</v>
      </c>
      <c r="T24" s="355">
        <f t="shared" si="16"/>
        <v>4418776.390000001</v>
      </c>
      <c r="U24" s="363">
        <f>'B. Dashboard'!F$41</f>
        <v>0.14</v>
      </c>
      <c r="V24" s="363">
        <f>'5.Unit investment&amp;opex'!J21</f>
        <v>-0.02</v>
      </c>
      <c r="W24" s="354">
        <f>'5.Unit investment&amp;opex'!H21</f>
        <v>5</v>
      </c>
      <c r="X24" s="363">
        <f>'B. Dashboard'!F$45</f>
        <v>0.2</v>
      </c>
      <c r="Y24" s="361">
        <f t="shared" si="6"/>
        <v>0.13025747691832062</v>
      </c>
      <c r="Z24" s="361">
        <f t="shared" si="17"/>
        <v>0.27025747691832064</v>
      </c>
      <c r="AA24" s="355">
        <f t="shared" si="7"/>
        <v>1243184.393824275</v>
      </c>
      <c r="AB24" s="355">
        <f t="shared" si="8"/>
        <v>1229671.5199783589</v>
      </c>
      <c r="AC24" s="355">
        <f t="shared" si="9"/>
        <v>1216996.4443108896</v>
      </c>
      <c r="AD24" s="355">
        <f t="shared" si="10"/>
        <v>1205170.7878933747</v>
      </c>
      <c r="AE24" s="355">
        <f t="shared" si="11"/>
        <v>1194207.3582276453</v>
      </c>
      <c r="AF24" s="355">
        <f>F24*'5.Unit investment&amp;opex'!V109</f>
        <v>690000</v>
      </c>
      <c r="AG24" s="355">
        <f>G24*'5.Unit investment&amp;opex'!W109</f>
        <v>724500</v>
      </c>
      <c r="AH24" s="355">
        <f>H24*'5.Unit investment&amp;opex'!X109</f>
        <v>760725</v>
      </c>
      <c r="AI24" s="355">
        <f>I24*'5.Unit investment&amp;opex'!Y109</f>
        <v>798761.25</v>
      </c>
      <c r="AJ24" s="355">
        <f>J24*'5.Unit investment&amp;opex'!Z109</f>
        <v>838699.3125</v>
      </c>
      <c r="AK24" s="428">
        <f t="shared" si="18"/>
        <v>1933184.393824275</v>
      </c>
      <c r="AL24" s="428">
        <f t="shared" si="19"/>
        <v>1954171.5199783589</v>
      </c>
      <c r="AM24" s="428">
        <f t="shared" si="20"/>
        <v>1977721.4443108896</v>
      </c>
      <c r="AN24" s="428">
        <f t="shared" si="21"/>
        <v>2003932.0378933747</v>
      </c>
      <c r="AO24" s="428">
        <f t="shared" si="22"/>
        <v>2032906.6707276453</v>
      </c>
    </row>
    <row r="25" spans="3:41" ht="12.75">
      <c r="C25" s="160" t="str">
        <f>'C. Masterfiles'!C59</f>
        <v>N07</v>
      </c>
      <c r="D25" s="160" t="str">
        <f>'C. Masterfiles'!D59</f>
        <v>Retail Billing System</v>
      </c>
      <c r="E25" s="160" t="str">
        <f>'C. Masterfiles'!E59</f>
        <v>RBIL</v>
      </c>
      <c r="F25" s="353">
        <f>'6.Network Design'!G254</f>
        <v>1</v>
      </c>
      <c r="G25" s="353">
        <f>'6.Network Design'!H254</f>
        <v>1</v>
      </c>
      <c r="H25" s="353">
        <f>'6.Network Design'!I254</f>
        <v>1</v>
      </c>
      <c r="I25" s="353">
        <f>'6.Network Design'!J254</f>
        <v>1</v>
      </c>
      <c r="J25" s="353">
        <f>'6.Network Design'!K254</f>
        <v>1</v>
      </c>
      <c r="K25" s="354">
        <f>'5.Unit investment&amp;opex'!Q110</f>
        <v>2300000</v>
      </c>
      <c r="L25" s="354">
        <f>'5.Unit investment&amp;opex'!R110</f>
        <v>2275000</v>
      </c>
      <c r="M25" s="354">
        <f>'5.Unit investment&amp;opex'!S110</f>
        <v>2251550</v>
      </c>
      <c r="N25" s="354">
        <f>'5.Unit investment&amp;opex'!T110</f>
        <v>2229671.5</v>
      </c>
      <c r="O25" s="354">
        <f>'5.Unit investment&amp;opex'!U110</f>
        <v>2209388.1950000003</v>
      </c>
      <c r="P25" s="355">
        <f t="shared" si="12"/>
        <v>2300000</v>
      </c>
      <c r="Q25" s="355">
        <f t="shared" si="13"/>
        <v>2275000</v>
      </c>
      <c r="R25" s="355">
        <f t="shared" si="14"/>
        <v>2251550</v>
      </c>
      <c r="S25" s="355">
        <f t="shared" si="15"/>
        <v>2229671.5</v>
      </c>
      <c r="T25" s="355">
        <f t="shared" si="16"/>
        <v>2209388.1950000003</v>
      </c>
      <c r="U25" s="363">
        <f>'B. Dashboard'!F$41</f>
        <v>0.14</v>
      </c>
      <c r="V25" s="363">
        <f>'5.Unit investment&amp;opex'!J22</f>
        <v>-0.02</v>
      </c>
      <c r="W25" s="354">
        <f>'5.Unit investment&amp;opex'!H22</f>
        <v>5</v>
      </c>
      <c r="X25" s="363">
        <f>'B. Dashboard'!F$45</f>
        <v>0.2</v>
      </c>
      <c r="Y25" s="361">
        <f t="shared" si="6"/>
        <v>0.13025747691832062</v>
      </c>
      <c r="Z25" s="361">
        <f t="shared" si="17"/>
        <v>0.27025747691832064</v>
      </c>
      <c r="AA25" s="355">
        <f t="shared" si="7"/>
        <v>621592.1969121374</v>
      </c>
      <c r="AB25" s="355">
        <f t="shared" si="8"/>
        <v>614835.7599891794</v>
      </c>
      <c r="AC25" s="355">
        <f t="shared" si="9"/>
        <v>608498.2221554448</v>
      </c>
      <c r="AD25" s="355">
        <f t="shared" si="10"/>
        <v>602585.3939466873</v>
      </c>
      <c r="AE25" s="355">
        <f t="shared" si="11"/>
        <v>597103.6791138226</v>
      </c>
      <c r="AF25" s="355">
        <f>F25*'5.Unit investment&amp;opex'!V110</f>
        <v>345000</v>
      </c>
      <c r="AG25" s="355">
        <f>G25*'5.Unit investment&amp;opex'!W110</f>
        <v>362250</v>
      </c>
      <c r="AH25" s="355">
        <f>H25*'5.Unit investment&amp;opex'!X110</f>
        <v>380362.5</v>
      </c>
      <c r="AI25" s="355">
        <f>I25*'5.Unit investment&amp;opex'!Y110</f>
        <v>399380.625</v>
      </c>
      <c r="AJ25" s="355">
        <f>J25*'5.Unit investment&amp;opex'!Z110</f>
        <v>419349.65625</v>
      </c>
      <c r="AK25" s="428">
        <f t="shared" si="18"/>
        <v>966592.1969121374</v>
      </c>
      <c r="AL25" s="428">
        <f t="shared" si="19"/>
        <v>977085.7599891794</v>
      </c>
      <c r="AM25" s="428">
        <f t="shared" si="20"/>
        <v>988860.7221554448</v>
      </c>
      <c r="AN25" s="428">
        <f t="shared" si="21"/>
        <v>1001966.0189466873</v>
      </c>
      <c r="AO25" s="428">
        <f t="shared" si="22"/>
        <v>1016453.3353638226</v>
      </c>
    </row>
    <row r="26" spans="3:41" ht="12.75">
      <c r="C26" s="160" t="str">
        <f>'C. Masterfiles'!C60</f>
        <v>N08</v>
      </c>
      <c r="D26" s="160" t="str">
        <f>'C. Masterfiles'!D60</f>
        <v>Interconnection Billing System</v>
      </c>
      <c r="E26" s="160" t="str">
        <f>'C. Masterfiles'!E60</f>
        <v>IBIL</v>
      </c>
      <c r="F26" s="353">
        <f>'6.Network Design'!G255</f>
        <v>1</v>
      </c>
      <c r="G26" s="353">
        <f>'6.Network Design'!H255</f>
        <v>1</v>
      </c>
      <c r="H26" s="353">
        <f>'6.Network Design'!I255</f>
        <v>1</v>
      </c>
      <c r="I26" s="353">
        <f>'6.Network Design'!J255</f>
        <v>1</v>
      </c>
      <c r="J26" s="353">
        <f>'6.Network Design'!K255</f>
        <v>1</v>
      </c>
      <c r="K26" s="354">
        <f>'5.Unit investment&amp;opex'!Q111</f>
        <v>1150000</v>
      </c>
      <c r="L26" s="354">
        <f>'5.Unit investment&amp;opex'!R111</f>
        <v>1137500</v>
      </c>
      <c r="M26" s="354">
        <f>'5.Unit investment&amp;opex'!S111</f>
        <v>1125775</v>
      </c>
      <c r="N26" s="354">
        <f>'5.Unit investment&amp;opex'!T111</f>
        <v>1114835.75</v>
      </c>
      <c r="O26" s="354">
        <f>'5.Unit investment&amp;opex'!U111</f>
        <v>1104694.0975000001</v>
      </c>
      <c r="P26" s="355">
        <f t="shared" si="12"/>
        <v>1150000</v>
      </c>
      <c r="Q26" s="355">
        <f t="shared" si="13"/>
        <v>1137500</v>
      </c>
      <c r="R26" s="355">
        <f t="shared" si="14"/>
        <v>1125775</v>
      </c>
      <c r="S26" s="355">
        <f t="shared" si="15"/>
        <v>1114835.75</v>
      </c>
      <c r="T26" s="355">
        <f t="shared" si="16"/>
        <v>1104694.0975000001</v>
      </c>
      <c r="U26" s="363">
        <f>'B. Dashboard'!F$41</f>
        <v>0.14</v>
      </c>
      <c r="V26" s="363">
        <f>'5.Unit investment&amp;opex'!J23</f>
        <v>-0.02</v>
      </c>
      <c r="W26" s="354">
        <f>'5.Unit investment&amp;opex'!H23</f>
        <v>5</v>
      </c>
      <c r="X26" s="363">
        <f>'B. Dashboard'!F$45</f>
        <v>0.2</v>
      </c>
      <c r="Y26" s="361">
        <f t="shared" si="6"/>
        <v>0.13025747691832062</v>
      </c>
      <c r="Z26" s="361">
        <f t="shared" si="17"/>
        <v>0.27025747691832064</v>
      </c>
      <c r="AA26" s="355">
        <f t="shared" si="7"/>
        <v>310796.0984560687</v>
      </c>
      <c r="AB26" s="355">
        <f t="shared" si="8"/>
        <v>307417.8799945897</v>
      </c>
      <c r="AC26" s="355">
        <f t="shared" si="9"/>
        <v>304249.1110777224</v>
      </c>
      <c r="AD26" s="355">
        <f t="shared" si="10"/>
        <v>301292.69697334367</v>
      </c>
      <c r="AE26" s="355">
        <f t="shared" si="11"/>
        <v>298551.8395569113</v>
      </c>
      <c r="AF26" s="355">
        <f>F26*'5.Unit investment&amp;opex'!V111</f>
        <v>172500</v>
      </c>
      <c r="AG26" s="355">
        <f>G26*'5.Unit investment&amp;opex'!W111</f>
        <v>181125</v>
      </c>
      <c r="AH26" s="355">
        <f>H26*'5.Unit investment&amp;opex'!X111</f>
        <v>190181.25</v>
      </c>
      <c r="AI26" s="355">
        <f>I26*'5.Unit investment&amp;opex'!Y111</f>
        <v>199690.3125</v>
      </c>
      <c r="AJ26" s="355">
        <f>J26*'5.Unit investment&amp;opex'!Z111</f>
        <v>209674.828125</v>
      </c>
      <c r="AK26" s="428">
        <f t="shared" si="18"/>
        <v>483296.0984560687</v>
      </c>
      <c r="AL26" s="428">
        <f t="shared" si="19"/>
        <v>488542.8799945897</v>
      </c>
      <c r="AM26" s="428">
        <f t="shared" si="20"/>
        <v>494430.3610777224</v>
      </c>
      <c r="AN26" s="428">
        <f t="shared" si="21"/>
        <v>500983.00947334367</v>
      </c>
      <c r="AO26" s="428">
        <f t="shared" si="22"/>
        <v>508226.6676819113</v>
      </c>
    </row>
    <row r="27" spans="3:41" ht="12.75">
      <c r="C27" s="160" t="str">
        <f>'C. Masterfiles'!C61</f>
        <v>N09</v>
      </c>
      <c r="D27" s="160" t="str">
        <f>'C. Masterfiles'!D61</f>
        <v>Network management system</v>
      </c>
      <c r="E27" s="160" t="str">
        <f>'C. Masterfiles'!E61</f>
        <v>NMS</v>
      </c>
      <c r="F27" s="353">
        <f>'6.Network Design'!G256</f>
        <v>1</v>
      </c>
      <c r="G27" s="353">
        <f>'6.Network Design'!H256</f>
        <v>1</v>
      </c>
      <c r="H27" s="353">
        <f>'6.Network Design'!I256</f>
        <v>1</v>
      </c>
      <c r="I27" s="353">
        <f>'6.Network Design'!J256</f>
        <v>1</v>
      </c>
      <c r="J27" s="353">
        <f>'6.Network Design'!K256</f>
        <v>1</v>
      </c>
      <c r="K27" s="354">
        <f>'5.Unit investment&amp;opex'!Q112</f>
        <v>2300000</v>
      </c>
      <c r="L27" s="354">
        <f>'5.Unit investment&amp;opex'!R112</f>
        <v>2275000</v>
      </c>
      <c r="M27" s="354">
        <f>'5.Unit investment&amp;opex'!S112</f>
        <v>2251550</v>
      </c>
      <c r="N27" s="354">
        <f>'5.Unit investment&amp;opex'!T112</f>
        <v>2229671.5</v>
      </c>
      <c r="O27" s="354">
        <f>'5.Unit investment&amp;opex'!U112</f>
        <v>2209388.1950000003</v>
      </c>
      <c r="P27" s="355">
        <f t="shared" si="12"/>
        <v>2300000</v>
      </c>
      <c r="Q27" s="355">
        <f t="shared" si="13"/>
        <v>2275000</v>
      </c>
      <c r="R27" s="355">
        <f t="shared" si="14"/>
        <v>2251550</v>
      </c>
      <c r="S27" s="355">
        <f t="shared" si="15"/>
        <v>2229671.5</v>
      </c>
      <c r="T27" s="355">
        <f t="shared" si="16"/>
        <v>2209388.1950000003</v>
      </c>
      <c r="U27" s="363">
        <f>'B. Dashboard'!F$41</f>
        <v>0.14</v>
      </c>
      <c r="V27" s="363">
        <f>'5.Unit investment&amp;opex'!J24</f>
        <v>-0.02</v>
      </c>
      <c r="W27" s="354">
        <f>'5.Unit investment&amp;opex'!H24</f>
        <v>5</v>
      </c>
      <c r="X27" s="363">
        <f>'B. Dashboard'!F$45</f>
        <v>0.2</v>
      </c>
      <c r="Y27" s="361">
        <f t="shared" si="6"/>
        <v>0.13025747691832062</v>
      </c>
      <c r="Z27" s="361">
        <f t="shared" si="17"/>
        <v>0.27025747691832064</v>
      </c>
      <c r="AA27" s="355">
        <f t="shared" si="7"/>
        <v>621592.1969121374</v>
      </c>
      <c r="AB27" s="355">
        <f t="shared" si="8"/>
        <v>614835.7599891794</v>
      </c>
      <c r="AC27" s="355">
        <f t="shared" si="9"/>
        <v>608498.2221554448</v>
      </c>
      <c r="AD27" s="355">
        <f t="shared" si="10"/>
        <v>602585.3939466873</v>
      </c>
      <c r="AE27" s="355">
        <f t="shared" si="11"/>
        <v>597103.6791138226</v>
      </c>
      <c r="AF27" s="355">
        <f>F27*'5.Unit investment&amp;opex'!V112</f>
        <v>345000</v>
      </c>
      <c r="AG27" s="355">
        <f>G27*'5.Unit investment&amp;opex'!W112</f>
        <v>362250</v>
      </c>
      <c r="AH27" s="355">
        <f>H27*'5.Unit investment&amp;opex'!X112</f>
        <v>380362.5</v>
      </c>
      <c r="AI27" s="355">
        <f>I27*'5.Unit investment&amp;opex'!Y112</f>
        <v>399380.625</v>
      </c>
      <c r="AJ27" s="355">
        <f>J27*'5.Unit investment&amp;opex'!Z112</f>
        <v>419349.65625</v>
      </c>
      <c r="AK27" s="428">
        <f t="shared" si="18"/>
        <v>966592.1969121374</v>
      </c>
      <c r="AL27" s="428">
        <f t="shared" si="19"/>
        <v>977085.7599891794</v>
      </c>
      <c r="AM27" s="428">
        <f t="shared" si="20"/>
        <v>988860.7221554448</v>
      </c>
      <c r="AN27" s="428">
        <f t="shared" si="21"/>
        <v>1001966.0189466873</v>
      </c>
      <c r="AO27" s="428">
        <f t="shared" si="22"/>
        <v>1016453.3353638226</v>
      </c>
    </row>
    <row r="28" spans="3:41" ht="12.75">
      <c r="C28" s="160" t="str">
        <f>'C. Masterfiles'!C62</f>
        <v>N10</v>
      </c>
      <c r="D28" s="160" t="str">
        <f>'C. Masterfiles'!D62</f>
        <v>Operational support system</v>
      </c>
      <c r="E28" s="160" t="str">
        <f>'C. Masterfiles'!E62</f>
        <v>OSS</v>
      </c>
      <c r="F28" s="353">
        <f>'6.Network Design'!G257</f>
        <v>1</v>
      </c>
      <c r="G28" s="353">
        <f>'6.Network Design'!H257</f>
        <v>1</v>
      </c>
      <c r="H28" s="353">
        <f>'6.Network Design'!I257</f>
        <v>1</v>
      </c>
      <c r="I28" s="353">
        <f>'6.Network Design'!J257</f>
        <v>1</v>
      </c>
      <c r="J28" s="353">
        <f>'6.Network Design'!K257</f>
        <v>1</v>
      </c>
      <c r="K28" s="354">
        <f>'5.Unit investment&amp;opex'!Q113</f>
        <v>2300000</v>
      </c>
      <c r="L28" s="354">
        <f>'5.Unit investment&amp;opex'!R113</f>
        <v>2215000</v>
      </c>
      <c r="M28" s="354">
        <f>'5.Unit investment&amp;opex'!S113</f>
        <v>2135750</v>
      </c>
      <c r="N28" s="354">
        <f>'5.Unit investment&amp;opex'!T113</f>
        <v>2062037.5</v>
      </c>
      <c r="O28" s="354">
        <f>'5.Unit investment&amp;opex'!U113</f>
        <v>1993664.375</v>
      </c>
      <c r="P28" s="355">
        <f t="shared" si="12"/>
        <v>2300000</v>
      </c>
      <c r="Q28" s="355">
        <f t="shared" si="13"/>
        <v>2215000</v>
      </c>
      <c r="R28" s="355">
        <f t="shared" si="14"/>
        <v>2135750</v>
      </c>
      <c r="S28" s="355">
        <f t="shared" si="15"/>
        <v>2062037.5</v>
      </c>
      <c r="T28" s="355">
        <f t="shared" si="16"/>
        <v>1993664.375</v>
      </c>
      <c r="U28" s="363">
        <f>'B. Dashboard'!F$41</f>
        <v>0.14</v>
      </c>
      <c r="V28" s="363">
        <f>'5.Unit investment&amp;opex'!J25</f>
        <v>-0.05</v>
      </c>
      <c r="W28" s="354">
        <f>'5.Unit investment&amp;opex'!H25</f>
        <v>10</v>
      </c>
      <c r="X28" s="363">
        <f>'B. Dashboard'!F$45</f>
        <v>0.2</v>
      </c>
      <c r="Y28" s="361">
        <f t="shared" si="6"/>
        <v>0.07437201198999488</v>
      </c>
      <c r="Z28" s="361">
        <f t="shared" si="17"/>
        <v>0.2143720119899949</v>
      </c>
      <c r="AA28" s="355">
        <f t="shared" si="7"/>
        <v>493055.62757698825</v>
      </c>
      <c r="AB28" s="355">
        <f t="shared" si="8"/>
        <v>474834.0065578387</v>
      </c>
      <c r="AC28" s="355">
        <f t="shared" si="9"/>
        <v>457845.0246076316</v>
      </c>
      <c r="AD28" s="355">
        <f t="shared" si="10"/>
        <v>442043.1276738191</v>
      </c>
      <c r="AE28" s="355">
        <f t="shared" si="11"/>
        <v>427385.8433015257</v>
      </c>
      <c r="AF28" s="355">
        <f>F28*'5.Unit investment&amp;opex'!V113</f>
        <v>184000</v>
      </c>
      <c r="AG28" s="355">
        <f>G28*'5.Unit investment&amp;opex'!W113</f>
        <v>193200</v>
      </c>
      <c r="AH28" s="355">
        <f>H28*'5.Unit investment&amp;opex'!X113</f>
        <v>202860</v>
      </c>
      <c r="AI28" s="355">
        <f>I28*'5.Unit investment&amp;opex'!Y113</f>
        <v>213003</v>
      </c>
      <c r="AJ28" s="355">
        <f>J28*'5.Unit investment&amp;opex'!Z113</f>
        <v>223653.15000000002</v>
      </c>
      <c r="AK28" s="428">
        <f t="shared" si="18"/>
        <v>677055.6275769882</v>
      </c>
      <c r="AL28" s="428">
        <f t="shared" si="19"/>
        <v>668034.0065578388</v>
      </c>
      <c r="AM28" s="428">
        <f t="shared" si="20"/>
        <v>660705.0246076316</v>
      </c>
      <c r="AN28" s="428">
        <f t="shared" si="21"/>
        <v>655046.1276738191</v>
      </c>
      <c r="AO28" s="428">
        <f t="shared" si="22"/>
        <v>651038.9933015257</v>
      </c>
    </row>
    <row r="29" spans="3:46" ht="12.75">
      <c r="C29" s="42" t="str">
        <f>'C. Masterfiles'!C63</f>
        <v>End</v>
      </c>
      <c r="D29" s="42" t="str">
        <f>'C. Masterfiles'!D63</f>
        <v>End of list</v>
      </c>
      <c r="E29" s="155"/>
      <c r="F29" s="157"/>
      <c r="G29" s="157"/>
      <c r="H29" s="157"/>
      <c r="I29" s="157"/>
      <c r="J29" s="157"/>
      <c r="K29" s="162"/>
      <c r="L29" s="162"/>
      <c r="M29" s="162"/>
      <c r="N29" s="162"/>
      <c r="O29" s="162"/>
      <c r="P29" s="356">
        <f>SUM(P19:P28)</f>
        <v>76820000</v>
      </c>
      <c r="Q29" s="356">
        <f>SUM(Q19:Q28)</f>
        <v>74383900</v>
      </c>
      <c r="R29" s="356">
        <f>SUM(R19:R28)</f>
        <v>72036688.75</v>
      </c>
      <c r="S29" s="356">
        <f>SUM(S19:S28)</f>
        <v>69915090.75</v>
      </c>
      <c r="T29" s="356">
        <f>SUM(T19:T28)</f>
        <v>67858196.97125</v>
      </c>
      <c r="U29" s="162"/>
      <c r="V29" s="360"/>
      <c r="W29" s="162"/>
      <c r="X29" s="162"/>
      <c r="Y29" s="162"/>
      <c r="Z29" s="162"/>
      <c r="AA29" s="239">
        <f aca="true" t="shared" si="23" ref="AA29:AO29">SUM(AA19:AA28)</f>
        <v>16393709.196224649</v>
      </c>
      <c r="AB29" s="239">
        <f t="shared" si="23"/>
        <v>15753352.726430057</v>
      </c>
      <c r="AC29" s="239">
        <f t="shared" si="23"/>
        <v>15137719.196541999</v>
      </c>
      <c r="AD29" s="239">
        <f t="shared" si="23"/>
        <v>14572734.442757718</v>
      </c>
      <c r="AE29" s="239">
        <f t="shared" si="23"/>
        <v>14023515.58516837</v>
      </c>
      <c r="AF29" s="239">
        <f t="shared" si="23"/>
        <v>6870100</v>
      </c>
      <c r="AG29" s="239">
        <f t="shared" si="23"/>
        <v>7225197</v>
      </c>
      <c r="AH29" s="239">
        <f t="shared" si="23"/>
        <v>7591528.35</v>
      </c>
      <c r="AI29" s="239">
        <f t="shared" si="23"/>
        <v>7982819.932500001</v>
      </c>
      <c r="AJ29" s="239">
        <f t="shared" si="23"/>
        <v>8384197.460625001</v>
      </c>
      <c r="AK29" s="362">
        <f t="shared" si="23"/>
        <v>23263809.19622465</v>
      </c>
      <c r="AL29" s="362">
        <f t="shared" si="23"/>
        <v>22978549.726430055</v>
      </c>
      <c r="AM29" s="362">
        <f t="shared" si="23"/>
        <v>22729247.546541996</v>
      </c>
      <c r="AN29" s="362">
        <f t="shared" si="23"/>
        <v>22555554.375257716</v>
      </c>
      <c r="AO29" s="362">
        <f t="shared" si="23"/>
        <v>22407713.04579337</v>
      </c>
      <c r="AT29" s="233"/>
    </row>
    <row r="30" ht="12.75"/>
    <row r="31" ht="12.75"/>
    <row r="32" ht="12.75"/>
    <row r="33" spans="3:41" ht="12.75">
      <c r="C33" s="709" t="s">
        <v>126</v>
      </c>
      <c r="D33" s="708"/>
      <c r="E33" s="166"/>
      <c r="F33" s="199" t="s">
        <v>749</v>
      </c>
      <c r="G33" s="199"/>
      <c r="H33" s="199"/>
      <c r="I33" s="199"/>
      <c r="J33" s="200"/>
      <c r="K33" s="201" t="s">
        <v>751</v>
      </c>
      <c r="L33" s="201"/>
      <c r="M33" s="201"/>
      <c r="N33" s="201"/>
      <c r="O33" s="202"/>
      <c r="P33" s="203" t="s">
        <v>754</v>
      </c>
      <c r="Q33" s="203"/>
      <c r="R33" s="203"/>
      <c r="S33" s="203"/>
      <c r="T33" s="204"/>
      <c r="U33" s="205" t="s">
        <v>757</v>
      </c>
      <c r="V33" s="357"/>
      <c r="W33" s="206"/>
      <c r="X33" s="206"/>
      <c r="Y33" s="206"/>
      <c r="Z33" s="206"/>
      <c r="AA33" s="203" t="s">
        <v>755</v>
      </c>
      <c r="AB33" s="203"/>
      <c r="AC33" s="203"/>
      <c r="AD33" s="203"/>
      <c r="AE33" s="204"/>
      <c r="AF33" s="207" t="s">
        <v>758</v>
      </c>
      <c r="AG33" s="207"/>
      <c r="AH33" s="207"/>
      <c r="AI33" s="207"/>
      <c r="AJ33" s="208"/>
      <c r="AK33" s="209" t="s">
        <v>760</v>
      </c>
      <c r="AL33" s="209"/>
      <c r="AM33" s="209"/>
      <c r="AN33" s="209"/>
      <c r="AO33" s="210"/>
    </row>
    <row r="34" spans="3:41" ht="12.75">
      <c r="C34" s="166"/>
      <c r="D34" s="166"/>
      <c r="E34" s="166"/>
      <c r="F34" s="166">
        <f>'C. Masterfiles'!E99</f>
        <v>2008</v>
      </c>
      <c r="G34" s="166">
        <f>'C. Masterfiles'!F99</f>
        <v>2009</v>
      </c>
      <c r="H34" s="166">
        <f>'C. Masterfiles'!G99</f>
        <v>2010</v>
      </c>
      <c r="I34" s="166">
        <f>'C. Masterfiles'!H99</f>
        <v>2011</v>
      </c>
      <c r="J34" s="166">
        <f>'C. Masterfiles'!I99</f>
        <v>2012</v>
      </c>
      <c r="K34" s="166">
        <f>F34</f>
        <v>2008</v>
      </c>
      <c r="L34" s="166">
        <f>G34</f>
        <v>2009</v>
      </c>
      <c r="M34" s="166">
        <f>H34</f>
        <v>2010</v>
      </c>
      <c r="N34" s="166">
        <f>I34</f>
        <v>2011</v>
      </c>
      <c r="O34" s="166">
        <f>J34</f>
        <v>2012</v>
      </c>
      <c r="P34" s="166">
        <f>F34</f>
        <v>2008</v>
      </c>
      <c r="Q34" s="166">
        <f>G34</f>
        <v>2009</v>
      </c>
      <c r="R34" s="166">
        <f>H34</f>
        <v>2010</v>
      </c>
      <c r="S34" s="166">
        <f>I34</f>
        <v>2011</v>
      </c>
      <c r="T34" s="166">
        <f>J34</f>
        <v>2012</v>
      </c>
      <c r="U34" s="184"/>
      <c r="V34" s="358"/>
      <c r="W34" s="184"/>
      <c r="X34" s="184"/>
      <c r="Y34" s="184"/>
      <c r="Z34" s="184"/>
      <c r="AA34" s="166">
        <f>K34</f>
        <v>2008</v>
      </c>
      <c r="AB34" s="166">
        <f>L34</f>
        <v>2009</v>
      </c>
      <c r="AC34" s="166">
        <f>M34</f>
        <v>2010</v>
      </c>
      <c r="AD34" s="166">
        <f>N34</f>
        <v>2011</v>
      </c>
      <c r="AE34" s="166">
        <f>O34</f>
        <v>2012</v>
      </c>
      <c r="AF34" s="166">
        <f aca="true" t="shared" si="24" ref="AF34:AO34">AA34</f>
        <v>2008</v>
      </c>
      <c r="AG34" s="166">
        <f t="shared" si="24"/>
        <v>2009</v>
      </c>
      <c r="AH34" s="166">
        <f t="shared" si="24"/>
        <v>2010</v>
      </c>
      <c r="AI34" s="166">
        <f t="shared" si="24"/>
        <v>2011</v>
      </c>
      <c r="AJ34" s="166">
        <f t="shared" si="24"/>
        <v>2012</v>
      </c>
      <c r="AK34" s="166">
        <f t="shared" si="24"/>
        <v>2008</v>
      </c>
      <c r="AL34" s="166">
        <f t="shared" si="24"/>
        <v>2009</v>
      </c>
      <c r="AM34" s="166">
        <f t="shared" si="24"/>
        <v>2010</v>
      </c>
      <c r="AN34" s="166">
        <f t="shared" si="24"/>
        <v>2011</v>
      </c>
      <c r="AO34" s="166">
        <f t="shared" si="24"/>
        <v>2012</v>
      </c>
    </row>
    <row r="35" spans="1:50" s="97" customFormat="1" ht="12.75">
      <c r="A35" s="1"/>
      <c r="B35" s="54"/>
      <c r="C35" s="164"/>
      <c r="D35" s="164"/>
      <c r="E35" s="166"/>
      <c r="F35" s="166" t="s">
        <v>740</v>
      </c>
      <c r="G35" s="166" t="s">
        <v>740</v>
      </c>
      <c r="H35" s="166" t="s">
        <v>740</v>
      </c>
      <c r="I35" s="166" t="s">
        <v>740</v>
      </c>
      <c r="J35" s="166" t="s">
        <v>740</v>
      </c>
      <c r="K35" s="166" t="str">
        <f>'C. Masterfiles'!$D$110</f>
        <v>Euro</v>
      </c>
      <c r="L35" s="166" t="str">
        <f aca="true" t="shared" si="25" ref="L35:O36">K35</f>
        <v>Euro</v>
      </c>
      <c r="M35" s="166" t="str">
        <f t="shared" si="25"/>
        <v>Euro</v>
      </c>
      <c r="N35" s="166" t="str">
        <f t="shared" si="25"/>
        <v>Euro</v>
      </c>
      <c r="O35" s="166" t="str">
        <f t="shared" si="25"/>
        <v>Euro</v>
      </c>
      <c r="P35" s="166" t="str">
        <f>'C. Masterfiles'!$D$110</f>
        <v>Euro</v>
      </c>
      <c r="Q35" s="166" t="str">
        <f aca="true" t="shared" si="26" ref="Q35:T36">P35</f>
        <v>Euro</v>
      </c>
      <c r="R35" s="166" t="str">
        <f t="shared" si="26"/>
        <v>Euro</v>
      </c>
      <c r="S35" s="166" t="str">
        <f t="shared" si="26"/>
        <v>Euro</v>
      </c>
      <c r="T35" s="166" t="str">
        <f t="shared" si="26"/>
        <v>Euro</v>
      </c>
      <c r="U35" s="166" t="s">
        <v>601</v>
      </c>
      <c r="V35" s="227" t="s">
        <v>601</v>
      </c>
      <c r="W35" s="166" t="s">
        <v>632</v>
      </c>
      <c r="X35" s="166" t="s">
        <v>601</v>
      </c>
      <c r="Y35" s="166" t="s">
        <v>601</v>
      </c>
      <c r="Z35" s="166" t="s">
        <v>601</v>
      </c>
      <c r="AA35" s="166" t="str">
        <f>'C. Masterfiles'!$D$110</f>
        <v>Euro</v>
      </c>
      <c r="AB35" s="166" t="str">
        <f aca="true" t="shared" si="27" ref="AB35:AE36">AA35</f>
        <v>Euro</v>
      </c>
      <c r="AC35" s="166" t="str">
        <f t="shared" si="27"/>
        <v>Euro</v>
      </c>
      <c r="AD35" s="166" t="str">
        <f t="shared" si="27"/>
        <v>Euro</v>
      </c>
      <c r="AE35" s="166" t="str">
        <f t="shared" si="27"/>
        <v>Euro</v>
      </c>
      <c r="AF35" s="166" t="str">
        <f>'C. Masterfiles'!$D$110</f>
        <v>Euro</v>
      </c>
      <c r="AG35" s="166" t="str">
        <f aca="true" t="shared" si="28" ref="AG35:AJ36">AF35</f>
        <v>Euro</v>
      </c>
      <c r="AH35" s="166" t="str">
        <f t="shared" si="28"/>
        <v>Euro</v>
      </c>
      <c r="AI35" s="166" t="str">
        <f t="shared" si="28"/>
        <v>Euro</v>
      </c>
      <c r="AJ35" s="166" t="str">
        <f t="shared" si="28"/>
        <v>Euro</v>
      </c>
      <c r="AK35" s="166" t="str">
        <f>'C. Masterfiles'!$D$110</f>
        <v>Euro</v>
      </c>
      <c r="AL35" s="166" t="str">
        <f aca="true" t="shared" si="29" ref="AL35:AO36">AK35</f>
        <v>Euro</v>
      </c>
      <c r="AM35" s="166" t="str">
        <f t="shared" si="29"/>
        <v>Euro</v>
      </c>
      <c r="AN35" s="184" t="str">
        <f t="shared" si="29"/>
        <v>Euro</v>
      </c>
      <c r="AO35" s="166" t="str">
        <f t="shared" si="29"/>
        <v>Euro</v>
      </c>
      <c r="AP35" s="1"/>
      <c r="AQ35" s="73"/>
      <c r="AR35" s="1"/>
      <c r="AU35" s="1"/>
      <c r="AV35" s="1"/>
      <c r="AW35" s="1"/>
      <c r="AX35" s="1"/>
    </row>
    <row r="36" spans="1:50" s="163" customFormat="1" ht="59.25" customHeight="1">
      <c r="A36" s="1"/>
      <c r="B36" s="274"/>
      <c r="C36" s="164" t="s">
        <v>634</v>
      </c>
      <c r="D36" s="164" t="s">
        <v>696</v>
      </c>
      <c r="E36" s="164"/>
      <c r="F36" s="164" t="s">
        <v>750</v>
      </c>
      <c r="G36" s="165" t="str">
        <f>F36</f>
        <v>Equipment Volumes</v>
      </c>
      <c r="H36" s="165" t="str">
        <f>G36</f>
        <v>Equipment Volumes</v>
      </c>
      <c r="I36" s="165" t="str">
        <f>H36</f>
        <v>Equipment Volumes</v>
      </c>
      <c r="J36" s="165" t="str">
        <f>I36</f>
        <v>Equipment Volumes</v>
      </c>
      <c r="K36" s="165" t="s">
        <v>752</v>
      </c>
      <c r="L36" s="165" t="str">
        <f t="shared" si="25"/>
        <v>Unit Inv + Install</v>
      </c>
      <c r="M36" s="165" t="str">
        <f t="shared" si="25"/>
        <v>Unit Inv + Install</v>
      </c>
      <c r="N36" s="165" t="str">
        <f t="shared" si="25"/>
        <v>Unit Inv + Install</v>
      </c>
      <c r="O36" s="165" t="str">
        <f t="shared" si="25"/>
        <v>Unit Inv + Install</v>
      </c>
      <c r="P36" s="165" t="s">
        <v>753</v>
      </c>
      <c r="Q36" s="165" t="str">
        <f t="shared" si="26"/>
        <v>Capital inv</v>
      </c>
      <c r="R36" s="165" t="str">
        <f t="shared" si="26"/>
        <v>Capital inv</v>
      </c>
      <c r="S36" s="165" t="str">
        <f t="shared" si="26"/>
        <v>Capital inv</v>
      </c>
      <c r="T36" s="165" t="str">
        <f t="shared" si="26"/>
        <v>Capital inv</v>
      </c>
      <c r="U36" s="165" t="s">
        <v>744</v>
      </c>
      <c r="V36" s="359" t="s">
        <v>743</v>
      </c>
      <c r="W36" s="165" t="s">
        <v>741</v>
      </c>
      <c r="X36" s="359" t="s">
        <v>24</v>
      </c>
      <c r="Y36" s="165" t="s">
        <v>742</v>
      </c>
      <c r="Z36" s="165" t="s">
        <v>761</v>
      </c>
      <c r="AA36" s="165" t="s">
        <v>756</v>
      </c>
      <c r="AB36" s="165" t="str">
        <f t="shared" si="27"/>
        <v>Annual capital cost</v>
      </c>
      <c r="AC36" s="165" t="str">
        <f t="shared" si="27"/>
        <v>Annual capital cost</v>
      </c>
      <c r="AD36" s="165" t="str">
        <f t="shared" si="27"/>
        <v>Annual capital cost</v>
      </c>
      <c r="AE36" s="165" t="str">
        <f t="shared" si="27"/>
        <v>Annual capital cost</v>
      </c>
      <c r="AF36" s="165" t="s">
        <v>759</v>
      </c>
      <c r="AG36" s="165" t="str">
        <f t="shared" si="28"/>
        <v>Annual operating cost</v>
      </c>
      <c r="AH36" s="165" t="str">
        <f t="shared" si="28"/>
        <v>Annual operating cost</v>
      </c>
      <c r="AI36" s="165" t="str">
        <f t="shared" si="28"/>
        <v>Annual operating cost</v>
      </c>
      <c r="AJ36" s="165" t="str">
        <f t="shared" si="28"/>
        <v>Annual operating cost</v>
      </c>
      <c r="AK36" s="165" t="s">
        <v>746</v>
      </c>
      <c r="AL36" s="165" t="str">
        <f t="shared" si="29"/>
        <v>Total Annual Cost</v>
      </c>
      <c r="AM36" s="165" t="str">
        <f t="shared" si="29"/>
        <v>Total Annual Cost</v>
      </c>
      <c r="AN36" s="165" t="str">
        <f t="shared" si="29"/>
        <v>Total Annual Cost</v>
      </c>
      <c r="AO36" s="165" t="str">
        <f t="shared" si="29"/>
        <v>Total Annual Cost</v>
      </c>
      <c r="AP36" s="1"/>
      <c r="AQ36" s="73"/>
      <c r="AR36" s="1"/>
      <c r="AU36" s="1"/>
      <c r="AV36" s="1"/>
      <c r="AW36" s="1"/>
      <c r="AX36" s="1"/>
    </row>
    <row r="37" spans="1:44" s="97" customFormat="1" ht="12.75">
      <c r="A37" s="1"/>
      <c r="B37" s="54"/>
      <c r="C37" s="352" t="str">
        <f>'C. Masterfiles'!C69</f>
        <v>T01</v>
      </c>
      <c r="D37" s="352" t="str">
        <f>'C. Masterfiles'!D69</f>
        <v>Rau-TS</v>
      </c>
      <c r="E37" s="211"/>
      <c r="F37" s="353">
        <f>'6.Network Design'!G262</f>
        <v>1150</v>
      </c>
      <c r="G37" s="353">
        <f>'6.Network Design'!H262</f>
        <v>1107</v>
      </c>
      <c r="H37" s="353">
        <f>'6.Network Design'!I262</f>
        <v>1067</v>
      </c>
      <c r="I37" s="353">
        <f>'6.Network Design'!J262</f>
        <v>1022</v>
      </c>
      <c r="J37" s="353">
        <f>'6.Network Design'!K262</f>
        <v>961</v>
      </c>
      <c r="K37" s="354">
        <f>'5.Unit investment&amp;opex'!Q123</f>
        <v>21056</v>
      </c>
      <c r="L37" s="354">
        <f>'5.Unit investment&amp;opex'!R123</f>
        <v>20003.2</v>
      </c>
      <c r="M37" s="354">
        <f>'5.Unit investment&amp;opex'!S123</f>
        <v>19003.04</v>
      </c>
      <c r="N37" s="354">
        <f>'5.Unit investment&amp;opex'!T123</f>
        <v>18052.888</v>
      </c>
      <c r="O37" s="354">
        <f>'5.Unit investment&amp;opex'!U123</f>
        <v>17150.243599999998</v>
      </c>
      <c r="P37" s="355">
        <f aca="true" t="shared" si="30" ref="P37:T42">F37*K37</f>
        <v>24214400</v>
      </c>
      <c r="Q37" s="355">
        <f t="shared" si="30"/>
        <v>22143542.400000002</v>
      </c>
      <c r="R37" s="355">
        <f t="shared" si="30"/>
        <v>20276243.68</v>
      </c>
      <c r="S37" s="355">
        <f t="shared" si="30"/>
        <v>18450051.536</v>
      </c>
      <c r="T37" s="355">
        <f t="shared" si="30"/>
        <v>16481384.099599998</v>
      </c>
      <c r="U37" s="363">
        <f>'B. Dashboard'!F$41</f>
        <v>0.14</v>
      </c>
      <c r="V37" s="363">
        <f>'5.Unit investment&amp;opex'!H85</f>
        <v>-0.05</v>
      </c>
      <c r="W37" s="364">
        <f>'5.Unit investment&amp;opex'!F85</f>
        <v>15</v>
      </c>
      <c r="X37" s="363">
        <f>'B. Dashboard'!F$45</f>
        <v>0.2</v>
      </c>
      <c r="Y37" s="361">
        <f aca="true" t="shared" si="31" ref="Y37:Y42">Z37-U37</f>
        <v>0.057494828657955854</v>
      </c>
      <c r="Z37" s="361">
        <f>(1-X37/((1+U37)^W37))*(U37-V37)/(1-((1+V37)/(1+U37))^W37)</f>
        <v>0.19749482865795587</v>
      </c>
      <c r="AA37" s="355">
        <f aca="true" t="shared" si="32" ref="AA37:AA43">P37*$Z37</f>
        <v>4782218.779055206</v>
      </c>
      <c r="AB37" s="355">
        <f aca="true" t="shared" si="33" ref="AB37:AB43">Q37*$Z37</f>
        <v>4373235.112168182</v>
      </c>
      <c r="AC37" s="355">
        <f aca="true" t="shared" si="34" ref="AC37:AC43">R37*$Z37</f>
        <v>4004453.2714085607</v>
      </c>
      <c r="AD37" s="355">
        <f aca="true" t="shared" si="35" ref="AD37:AD43">S37*$Z37</f>
        <v>3643789.766832775</v>
      </c>
      <c r="AE37" s="355">
        <f aca="true" t="shared" si="36" ref="AE37:AE43">T37*$Z37</f>
        <v>3254988.12879646</v>
      </c>
      <c r="AF37" s="355">
        <f>F37*'5.Unit investment&amp;opex'!V123</f>
        <v>1452864</v>
      </c>
      <c r="AG37" s="355">
        <f>G37*'5.Unit investment&amp;opex'!W123</f>
        <v>1328612.5439999998</v>
      </c>
      <c r="AH37" s="355">
        <f>H37*'5.Unit investment&amp;opex'!X123</f>
        <v>1216574.6207999997</v>
      </c>
      <c r="AI37" s="355">
        <f>I37*'5.Unit investment&amp;opex'!Y123</f>
        <v>1107003.0921599998</v>
      </c>
      <c r="AJ37" s="355">
        <f>J37*'5.Unit investment&amp;opex'!Z123</f>
        <v>988883.0459759997</v>
      </c>
      <c r="AK37" s="428">
        <f aca="true" t="shared" si="37" ref="AK37:AO42">AA37+AF37</f>
        <v>6235082.779055206</v>
      </c>
      <c r="AL37" s="428">
        <f t="shared" si="37"/>
        <v>5701847.656168181</v>
      </c>
      <c r="AM37" s="428">
        <f t="shared" si="37"/>
        <v>5221027.89220856</v>
      </c>
      <c r="AN37" s="428">
        <f t="shared" si="37"/>
        <v>4750792.858992775</v>
      </c>
      <c r="AO37" s="428">
        <f t="shared" si="37"/>
        <v>4243871.17477246</v>
      </c>
      <c r="AQ37" s="73"/>
      <c r="AR37" s="1"/>
    </row>
    <row r="38" spans="1:44" s="97" customFormat="1" ht="12.75">
      <c r="A38" s="1"/>
      <c r="B38" s="54"/>
      <c r="C38" s="352" t="str">
        <f>'C. Masterfiles'!C70</f>
        <v>T02</v>
      </c>
      <c r="D38" s="352" t="str">
        <f>'C. Masterfiles'!D70</f>
        <v>LS-TS</v>
      </c>
      <c r="E38" s="211"/>
      <c r="F38" s="353">
        <f>'6.Network Design'!G263</f>
        <v>1147</v>
      </c>
      <c r="G38" s="353">
        <f>'6.Network Design'!H263</f>
        <v>1104</v>
      </c>
      <c r="H38" s="353">
        <f>'6.Network Design'!I263</f>
        <v>1064</v>
      </c>
      <c r="I38" s="353">
        <f>'6.Network Design'!J263</f>
        <v>1020</v>
      </c>
      <c r="J38" s="353">
        <f>'6.Network Design'!K263</f>
        <v>959</v>
      </c>
      <c r="K38" s="354">
        <f>'5.Unit investment&amp;opex'!Q124</f>
        <v>19243.63636363636</v>
      </c>
      <c r="L38" s="354">
        <f>'5.Unit investment&amp;opex'!R124</f>
        <v>18281.454545454544</v>
      </c>
      <c r="M38" s="354">
        <f>'5.Unit investment&amp;opex'!S124</f>
        <v>17367.381818181813</v>
      </c>
      <c r="N38" s="354">
        <f>'5.Unit investment&amp;opex'!T124</f>
        <v>16499.012727272722</v>
      </c>
      <c r="O38" s="354">
        <f>'5.Unit investment&amp;opex'!U124</f>
        <v>15674.062090909087</v>
      </c>
      <c r="P38" s="355">
        <f t="shared" si="30"/>
        <v>22072450.909090906</v>
      </c>
      <c r="Q38" s="355">
        <f t="shared" si="30"/>
        <v>20182725.818181816</v>
      </c>
      <c r="R38" s="355">
        <f t="shared" si="30"/>
        <v>18478894.25454545</v>
      </c>
      <c r="S38" s="355">
        <f t="shared" si="30"/>
        <v>16828992.981818177</v>
      </c>
      <c r="T38" s="355">
        <f t="shared" si="30"/>
        <v>15031425.545181815</v>
      </c>
      <c r="U38" s="363">
        <f>'B. Dashboard'!F$41</f>
        <v>0.14</v>
      </c>
      <c r="V38" s="363">
        <f>'5.Unit investment&amp;opex'!H86</f>
        <v>-0.05</v>
      </c>
      <c r="W38" s="364">
        <f>'5.Unit investment&amp;opex'!F86</f>
        <v>15</v>
      </c>
      <c r="X38" s="363">
        <f>'B. Dashboard'!F$45</f>
        <v>0.2</v>
      </c>
      <c r="Y38" s="361">
        <f t="shared" si="31"/>
        <v>0.057494828657955854</v>
      </c>
      <c r="Z38" s="361">
        <f aca="true" t="shared" si="38" ref="Z38:Z45">(1-X38/((1+U38)^W38))*(U38-V38)/(1-((1+V38)/(1+U38))^W38)</f>
        <v>0.19749482865795587</v>
      </c>
      <c r="AA38" s="355">
        <f t="shared" si="32"/>
        <v>4359194.91035205</v>
      </c>
      <c r="AB38" s="355">
        <f t="shared" si="33"/>
        <v>3985983.97731232</v>
      </c>
      <c r="AC38" s="355">
        <f t="shared" si="34"/>
        <v>3649486.054589939</v>
      </c>
      <c r="AD38" s="355">
        <f t="shared" si="35"/>
        <v>3323639.0854301224</v>
      </c>
      <c r="AE38" s="355">
        <f t="shared" si="36"/>
        <v>2968628.812530503</v>
      </c>
      <c r="AF38" s="355">
        <f>F38*'5.Unit investment&amp;opex'!V124</f>
        <v>1324347.0545454542</v>
      </c>
      <c r="AG38" s="355">
        <f>G38*'5.Unit investment&amp;opex'!W124</f>
        <v>1210963.5490909086</v>
      </c>
      <c r="AH38" s="355">
        <f>H38*'5.Unit investment&amp;opex'!X124</f>
        <v>1108733.655272727</v>
      </c>
      <c r="AI38" s="355">
        <f>I38*'5.Unit investment&amp;opex'!Y124</f>
        <v>1009739.5789090905</v>
      </c>
      <c r="AJ38" s="355">
        <f>J38*'5.Unit investment&amp;opex'!Z124</f>
        <v>901885.5327109087</v>
      </c>
      <c r="AK38" s="428">
        <f t="shared" si="37"/>
        <v>5683541.964897504</v>
      </c>
      <c r="AL38" s="428">
        <f t="shared" si="37"/>
        <v>5196947.526403229</v>
      </c>
      <c r="AM38" s="428">
        <f t="shared" si="37"/>
        <v>4758219.709862666</v>
      </c>
      <c r="AN38" s="428">
        <f t="shared" si="37"/>
        <v>4333378.664339213</v>
      </c>
      <c r="AO38" s="428">
        <f t="shared" si="37"/>
        <v>3870514.3452414116</v>
      </c>
      <c r="AQ38" s="73"/>
      <c r="AR38" s="1"/>
    </row>
    <row r="39" spans="1:44" s="97" customFormat="1" ht="12.75">
      <c r="A39" s="1"/>
      <c r="B39" s="54"/>
      <c r="C39" s="352" t="str">
        <f>'C. Masterfiles'!C71</f>
        <v>T03</v>
      </c>
      <c r="D39" s="352" t="str">
        <f>'C. Masterfiles'!D71</f>
        <v>TS-TS</v>
      </c>
      <c r="E39" s="211"/>
      <c r="F39" s="353">
        <f>'6.Network Design'!G264</f>
        <v>117</v>
      </c>
      <c r="G39" s="353">
        <f>'6.Network Design'!H264</f>
        <v>117</v>
      </c>
      <c r="H39" s="353">
        <f>'6.Network Design'!I264</f>
        <v>116</v>
      </c>
      <c r="I39" s="353">
        <f>'6.Network Design'!J264</f>
        <v>113</v>
      </c>
      <c r="J39" s="353">
        <f>'6.Network Design'!K264</f>
        <v>107</v>
      </c>
      <c r="K39" s="354">
        <f>'5.Unit investment&amp;opex'!Q125</f>
        <v>564480</v>
      </c>
      <c r="L39" s="354">
        <f>'5.Unit investment&amp;opex'!R125</f>
        <v>536256</v>
      </c>
      <c r="M39" s="354">
        <f>'5.Unit investment&amp;opex'!S125</f>
        <v>509443.2</v>
      </c>
      <c r="N39" s="354">
        <f>'5.Unit investment&amp;opex'!T125</f>
        <v>483971.04</v>
      </c>
      <c r="O39" s="354">
        <f>'5.Unit investment&amp;opex'!U125</f>
        <v>459772.48799999995</v>
      </c>
      <c r="P39" s="355">
        <f t="shared" si="30"/>
        <v>66044160</v>
      </c>
      <c r="Q39" s="355">
        <f t="shared" si="30"/>
        <v>62741952</v>
      </c>
      <c r="R39" s="355">
        <f t="shared" si="30"/>
        <v>59095411.2</v>
      </c>
      <c r="S39" s="355">
        <f t="shared" si="30"/>
        <v>54688727.519999996</v>
      </c>
      <c r="T39" s="355">
        <f t="shared" si="30"/>
        <v>49195656.216</v>
      </c>
      <c r="U39" s="363">
        <f>'B. Dashboard'!F$41</f>
        <v>0.14</v>
      </c>
      <c r="V39" s="363">
        <f>'5.Unit investment&amp;opex'!H87</f>
        <v>-0.05</v>
      </c>
      <c r="W39" s="364">
        <f>'5.Unit investment&amp;opex'!F87</f>
        <v>15</v>
      </c>
      <c r="X39" s="363">
        <f>'B. Dashboard'!F$45</f>
        <v>0.2</v>
      </c>
      <c r="Y39" s="361">
        <f t="shared" si="31"/>
        <v>0.057494828657955854</v>
      </c>
      <c r="Z39" s="361">
        <f t="shared" si="38"/>
        <v>0.19749482865795587</v>
      </c>
      <c r="AA39" s="355">
        <f t="shared" si="32"/>
        <v>13043380.063058622</v>
      </c>
      <c r="AB39" s="355">
        <f t="shared" si="33"/>
        <v>12391211.059905691</v>
      </c>
      <c r="AC39" s="355">
        <f t="shared" si="34"/>
        <v>11671038.109415447</v>
      </c>
      <c r="AD39" s="355">
        <f t="shared" si="35"/>
        <v>10800740.871084034</v>
      </c>
      <c r="AE39" s="355">
        <f t="shared" si="36"/>
        <v>9715887.69509462</v>
      </c>
      <c r="AF39" s="355">
        <f>F39*'5.Unit investment&amp;opex'!V125</f>
        <v>3962649.5999999996</v>
      </c>
      <c r="AG39" s="355">
        <f>G39*'5.Unit investment&amp;opex'!W125</f>
        <v>3764517.119999999</v>
      </c>
      <c r="AH39" s="355">
        <f>H39*'5.Unit investment&amp;opex'!X125</f>
        <v>3545724.6719999993</v>
      </c>
      <c r="AI39" s="355">
        <f>I39*'5.Unit investment&amp;opex'!Y125</f>
        <v>3281323.6511999993</v>
      </c>
      <c r="AJ39" s="355">
        <f>J39*'5.Unit investment&amp;opex'!Z125</f>
        <v>2951739.372959999</v>
      </c>
      <c r="AK39" s="428">
        <f t="shared" si="37"/>
        <v>17006029.663058624</v>
      </c>
      <c r="AL39" s="428">
        <f t="shared" si="37"/>
        <v>16155728.17990569</v>
      </c>
      <c r="AM39" s="428">
        <f t="shared" si="37"/>
        <v>15216762.781415448</v>
      </c>
      <c r="AN39" s="428">
        <f t="shared" si="37"/>
        <v>14082064.522284035</v>
      </c>
      <c r="AO39" s="428">
        <f t="shared" si="37"/>
        <v>12667627.06805462</v>
      </c>
      <c r="AQ39" s="73"/>
      <c r="AR39" s="1"/>
    </row>
    <row r="40" spans="1:44" s="97" customFormat="1" ht="12.75">
      <c r="A40" s="1"/>
      <c r="B40" s="54"/>
      <c r="C40" s="352" t="str">
        <f>'C. Masterfiles'!C72</f>
        <v>T04</v>
      </c>
      <c r="D40" s="352" t="str">
        <f>'C. Masterfiles'!D72</f>
        <v>TS-ISC</v>
      </c>
      <c r="E40" s="211"/>
      <c r="F40" s="353">
        <f>'6.Network Design'!G265</f>
        <v>336</v>
      </c>
      <c r="G40" s="353">
        <f>'6.Network Design'!H265</f>
        <v>292</v>
      </c>
      <c r="H40" s="353">
        <f>'6.Network Design'!I265</f>
        <v>266</v>
      </c>
      <c r="I40" s="353">
        <f>'6.Network Design'!J265</f>
        <v>243</v>
      </c>
      <c r="J40" s="353">
        <f>'6.Network Design'!K265</f>
        <v>219</v>
      </c>
      <c r="K40" s="354">
        <f>'5.Unit investment&amp;opex'!Q126</f>
        <v>564480</v>
      </c>
      <c r="L40" s="354">
        <f>'5.Unit investment&amp;opex'!R126</f>
        <v>536256</v>
      </c>
      <c r="M40" s="354">
        <f>'5.Unit investment&amp;opex'!S126</f>
        <v>509443.2</v>
      </c>
      <c r="N40" s="354">
        <f>'5.Unit investment&amp;opex'!T126</f>
        <v>483971.04</v>
      </c>
      <c r="O40" s="354">
        <f>'5.Unit investment&amp;opex'!U126</f>
        <v>459772.48799999995</v>
      </c>
      <c r="P40" s="355">
        <f t="shared" si="30"/>
        <v>189665280</v>
      </c>
      <c r="Q40" s="355">
        <f t="shared" si="30"/>
        <v>156586752</v>
      </c>
      <c r="R40" s="355">
        <f t="shared" si="30"/>
        <v>135511891.20000002</v>
      </c>
      <c r="S40" s="355">
        <f t="shared" si="30"/>
        <v>117604962.72</v>
      </c>
      <c r="T40" s="355">
        <f t="shared" si="30"/>
        <v>100690174.872</v>
      </c>
      <c r="U40" s="363">
        <f>'B. Dashboard'!F$41</f>
        <v>0.14</v>
      </c>
      <c r="V40" s="363">
        <f>'5.Unit investment&amp;opex'!H88</f>
        <v>-0.05</v>
      </c>
      <c r="W40" s="364">
        <f>'5.Unit investment&amp;opex'!F88</f>
        <v>15</v>
      </c>
      <c r="X40" s="363">
        <f>'B. Dashboard'!F$45</f>
        <v>0.2</v>
      </c>
      <c r="Y40" s="361">
        <f t="shared" si="31"/>
        <v>0.057494828657955854</v>
      </c>
      <c r="Z40" s="361">
        <f t="shared" si="38"/>
        <v>0.19749482865795587</v>
      </c>
      <c r="AA40" s="355">
        <f t="shared" si="32"/>
        <v>37457911.97596323</v>
      </c>
      <c r="AB40" s="355">
        <f t="shared" si="33"/>
        <v>30925073.756345827</v>
      </c>
      <c r="AC40" s="355">
        <f t="shared" si="34"/>
        <v>26762897.73365956</v>
      </c>
      <c r="AD40" s="355">
        <f t="shared" si="35"/>
        <v>23226371.961711686</v>
      </c>
      <c r="AE40" s="355">
        <f t="shared" si="36"/>
        <v>19885788.833885252</v>
      </c>
      <c r="AF40" s="355">
        <f>F40*'5.Unit investment&amp;opex'!V126</f>
        <v>11379916.799999999</v>
      </c>
      <c r="AG40" s="355">
        <f>G40*'5.Unit investment&amp;opex'!W126</f>
        <v>9395205.119999997</v>
      </c>
      <c r="AH40" s="355">
        <f>H40*'5.Unit investment&amp;opex'!X126</f>
        <v>8130713.471999998</v>
      </c>
      <c r="AI40" s="355">
        <f>I40*'5.Unit investment&amp;opex'!Y126</f>
        <v>7056297.763199998</v>
      </c>
      <c r="AJ40" s="355">
        <f>J40*'5.Unit investment&amp;opex'!Z126</f>
        <v>6041410.492319998</v>
      </c>
      <c r="AK40" s="428">
        <f t="shared" si="37"/>
        <v>48837828.775963224</v>
      </c>
      <c r="AL40" s="428">
        <f t="shared" si="37"/>
        <v>40320278.87634583</v>
      </c>
      <c r="AM40" s="428">
        <f t="shared" si="37"/>
        <v>34893611.20565956</v>
      </c>
      <c r="AN40" s="428">
        <f t="shared" si="37"/>
        <v>30282669.724911682</v>
      </c>
      <c r="AO40" s="428">
        <f t="shared" si="37"/>
        <v>25927199.32620525</v>
      </c>
      <c r="AQ40" s="73"/>
      <c r="AR40" s="1"/>
    </row>
    <row r="41" spans="1:44" s="97" customFormat="1" ht="12.75">
      <c r="A41" s="1"/>
      <c r="B41" s="54"/>
      <c r="C41" s="352" t="str">
        <f>'C. Masterfiles'!C73</f>
        <v>T05</v>
      </c>
      <c r="D41" s="352" t="str">
        <f>'C. Masterfiles'!D73</f>
        <v>ISC-ISC</v>
      </c>
      <c r="E41" s="211"/>
      <c r="F41" s="353">
        <f>'6.Network Design'!G266</f>
        <v>32</v>
      </c>
      <c r="G41" s="353">
        <f>'6.Network Design'!H266</f>
        <v>26</v>
      </c>
      <c r="H41" s="353">
        <f>'6.Network Design'!I266</f>
        <v>29</v>
      </c>
      <c r="I41" s="353">
        <f>'6.Network Design'!J266</f>
        <v>27</v>
      </c>
      <c r="J41" s="353">
        <f>'6.Network Design'!K266</f>
        <v>25</v>
      </c>
      <c r="K41" s="354">
        <f>'5.Unit investment&amp;opex'!Q127</f>
        <v>116480</v>
      </c>
      <c r="L41" s="354">
        <f>'5.Unit investment&amp;opex'!R127</f>
        <v>110656</v>
      </c>
      <c r="M41" s="354">
        <f>'5.Unit investment&amp;opex'!S127</f>
        <v>105123.2</v>
      </c>
      <c r="N41" s="354">
        <f>'5.Unit investment&amp;opex'!T127</f>
        <v>99867.04</v>
      </c>
      <c r="O41" s="354">
        <f>'5.Unit investment&amp;opex'!U127</f>
        <v>94873.688</v>
      </c>
      <c r="P41" s="355">
        <f t="shared" si="30"/>
        <v>3727360</v>
      </c>
      <c r="Q41" s="355">
        <f t="shared" si="30"/>
        <v>2877056</v>
      </c>
      <c r="R41" s="355">
        <f t="shared" si="30"/>
        <v>3048572.8</v>
      </c>
      <c r="S41" s="355">
        <f t="shared" si="30"/>
        <v>2696410.0799999996</v>
      </c>
      <c r="T41" s="355">
        <f t="shared" si="30"/>
        <v>2371842.1999999997</v>
      </c>
      <c r="U41" s="363">
        <f>'B. Dashboard'!F$41</f>
        <v>0.14</v>
      </c>
      <c r="V41" s="363">
        <f>'5.Unit investment&amp;opex'!H89</f>
        <v>-0.05</v>
      </c>
      <c r="W41" s="364">
        <f>'5.Unit investment&amp;opex'!F89</f>
        <v>15</v>
      </c>
      <c r="X41" s="363">
        <f>'B. Dashboard'!F$45</f>
        <v>0.2</v>
      </c>
      <c r="Y41" s="361">
        <f t="shared" si="31"/>
        <v>0.057494828657955854</v>
      </c>
      <c r="Z41" s="361">
        <f t="shared" si="38"/>
        <v>0.19749482865795587</v>
      </c>
      <c r="AA41" s="355">
        <f t="shared" si="32"/>
        <v>736134.3245465184</v>
      </c>
      <c r="AB41" s="355">
        <f t="shared" si="33"/>
        <v>568203.6817593438</v>
      </c>
      <c r="AC41" s="355">
        <f t="shared" si="34"/>
        <v>602077.3627873047</v>
      </c>
      <c r="AD41" s="355">
        <f t="shared" si="35"/>
        <v>532527.046741185</v>
      </c>
      <c r="AE41" s="355">
        <f t="shared" si="36"/>
        <v>468426.56889270904</v>
      </c>
      <c r="AF41" s="355">
        <f>F41*'5.Unit investment&amp;opex'!V127</f>
        <v>223641.6</v>
      </c>
      <c r="AG41" s="355">
        <f>G41*'5.Unit investment&amp;opex'!W127</f>
        <v>172623.36</v>
      </c>
      <c r="AH41" s="355">
        <f>H41*'5.Unit investment&amp;opex'!X127</f>
        <v>182914.368</v>
      </c>
      <c r="AI41" s="355">
        <f>I41*'5.Unit investment&amp;opex'!Y127</f>
        <v>161784.6048</v>
      </c>
      <c r="AJ41" s="355">
        <f>J41*'5.Unit investment&amp;opex'!Z127</f>
        <v>142310.53199999998</v>
      </c>
      <c r="AK41" s="428">
        <f t="shared" si="37"/>
        <v>959775.9245465184</v>
      </c>
      <c r="AL41" s="428">
        <f t="shared" si="37"/>
        <v>740827.0417593438</v>
      </c>
      <c r="AM41" s="428">
        <f t="shared" si="37"/>
        <v>784991.7307873047</v>
      </c>
      <c r="AN41" s="428">
        <f t="shared" si="37"/>
        <v>694311.651541185</v>
      </c>
      <c r="AO41" s="428">
        <f t="shared" si="37"/>
        <v>610737.100892709</v>
      </c>
      <c r="AQ41" s="73"/>
      <c r="AR41" s="1"/>
    </row>
    <row r="42" spans="1:44" s="97" customFormat="1" ht="12.75">
      <c r="A42" s="1"/>
      <c r="B42" s="54"/>
      <c r="C42" s="352" t="str">
        <f>'C. Masterfiles'!C74</f>
        <v>T06</v>
      </c>
      <c r="D42" s="352" t="str">
        <f>'C. Masterfiles'!D74</f>
        <v>ISC-IN</v>
      </c>
      <c r="E42" s="211"/>
      <c r="F42" s="353">
        <f>'6.Network Design'!G267</f>
        <v>2</v>
      </c>
      <c r="G42" s="353">
        <f>'6.Network Design'!H267</f>
        <v>2</v>
      </c>
      <c r="H42" s="353">
        <f>'6.Network Design'!I267</f>
        <v>2</v>
      </c>
      <c r="I42" s="353">
        <f>'6.Network Design'!J267</f>
        <v>2</v>
      </c>
      <c r="J42" s="353">
        <f>'6.Network Design'!K267</f>
        <v>2</v>
      </c>
      <c r="K42" s="354">
        <f>'5.Unit investment&amp;opex'!Q128</f>
        <v>5600</v>
      </c>
      <c r="L42" s="354">
        <f>'5.Unit investment&amp;opex'!R128</f>
        <v>5320</v>
      </c>
      <c r="M42" s="354">
        <f>'5.Unit investment&amp;opex'!S128</f>
        <v>5054</v>
      </c>
      <c r="N42" s="354">
        <f>'5.Unit investment&amp;opex'!T128</f>
        <v>4801.3</v>
      </c>
      <c r="O42" s="354">
        <f>'5.Unit investment&amp;opex'!U128</f>
        <v>4561.235</v>
      </c>
      <c r="P42" s="355">
        <f t="shared" si="30"/>
        <v>11200</v>
      </c>
      <c r="Q42" s="355">
        <f t="shared" si="30"/>
        <v>10640</v>
      </c>
      <c r="R42" s="355">
        <f t="shared" si="30"/>
        <v>10108</v>
      </c>
      <c r="S42" s="355">
        <f t="shared" si="30"/>
        <v>9602.6</v>
      </c>
      <c r="T42" s="355">
        <f t="shared" si="30"/>
        <v>9122.47</v>
      </c>
      <c r="U42" s="363">
        <f>'B. Dashboard'!F$41</f>
        <v>0.14</v>
      </c>
      <c r="V42" s="363">
        <f>'5.Unit investment&amp;opex'!H90</f>
        <v>-0.05</v>
      </c>
      <c r="W42" s="364">
        <f>'5.Unit investment&amp;opex'!F90</f>
        <v>15</v>
      </c>
      <c r="X42" s="363">
        <f>'B. Dashboard'!F$45</f>
        <v>0.2</v>
      </c>
      <c r="Y42" s="361">
        <f t="shared" si="31"/>
        <v>0.057494828657955854</v>
      </c>
      <c r="Z42" s="361">
        <f t="shared" si="38"/>
        <v>0.19749482865795587</v>
      </c>
      <c r="AA42" s="355">
        <f t="shared" si="32"/>
        <v>2211.9420809691055</v>
      </c>
      <c r="AB42" s="355">
        <f t="shared" si="33"/>
        <v>2101.3449769206504</v>
      </c>
      <c r="AC42" s="355">
        <f t="shared" si="34"/>
        <v>1996.277728074618</v>
      </c>
      <c r="AD42" s="355">
        <f t="shared" si="35"/>
        <v>1896.4638416708872</v>
      </c>
      <c r="AE42" s="355">
        <f t="shared" si="36"/>
        <v>1801.6406495873425</v>
      </c>
      <c r="AF42" s="355">
        <f>F42*'5.Unit investment&amp;opex'!V128</f>
        <v>672</v>
      </c>
      <c r="AG42" s="355">
        <f>G42*'5.Unit investment&amp;opex'!W128</f>
        <v>638.4</v>
      </c>
      <c r="AH42" s="355">
        <f>H42*'5.Unit investment&amp;opex'!X128</f>
        <v>606.4799999999999</v>
      </c>
      <c r="AI42" s="355">
        <f>I42*'5.Unit investment&amp;opex'!Y128</f>
        <v>576.1559999999998</v>
      </c>
      <c r="AJ42" s="355">
        <f>J42*'5.Unit investment&amp;opex'!Z128</f>
        <v>547.3481999999998</v>
      </c>
      <c r="AK42" s="428">
        <f t="shared" si="37"/>
        <v>2883.9420809691055</v>
      </c>
      <c r="AL42" s="428">
        <f t="shared" si="37"/>
        <v>2739.7449769206505</v>
      </c>
      <c r="AM42" s="428">
        <f t="shared" si="37"/>
        <v>2602.7577280746177</v>
      </c>
      <c r="AN42" s="428">
        <f t="shared" si="37"/>
        <v>2472.619841670887</v>
      </c>
      <c r="AO42" s="428">
        <f t="shared" si="37"/>
        <v>2348.9888495873424</v>
      </c>
      <c r="AQ42" s="73"/>
      <c r="AR42" s="1"/>
    </row>
    <row r="43" spans="1:44" s="97" customFormat="1" ht="12.75">
      <c r="A43" s="1"/>
      <c r="B43" s="54"/>
      <c r="C43" s="352" t="str">
        <f>'C. Masterfiles'!C75</f>
        <v>T07</v>
      </c>
      <c r="D43" s="352" t="str">
        <f>'C. Masterfiles'!D75</f>
        <v>TS-IN</v>
      </c>
      <c r="E43" s="211"/>
      <c r="F43" s="353">
        <f>'6.Network Design'!G268</f>
        <v>5.000000000000001</v>
      </c>
      <c r="G43" s="353">
        <f>'6.Network Design'!H268</f>
        <v>5</v>
      </c>
      <c r="H43" s="353">
        <f>'6.Network Design'!I268</f>
        <v>5</v>
      </c>
      <c r="I43" s="353">
        <f>'6.Network Design'!J268</f>
        <v>5</v>
      </c>
      <c r="J43" s="353">
        <f>'6.Network Design'!K268</f>
        <v>4</v>
      </c>
      <c r="K43" s="354">
        <f>'5.Unit investment&amp;opex'!Q129</f>
        <v>5226.666666666666</v>
      </c>
      <c r="L43" s="354">
        <f>'5.Unit investment&amp;opex'!R129</f>
        <v>4965.333333333332</v>
      </c>
      <c r="M43" s="354">
        <f>'5.Unit investment&amp;opex'!S129</f>
        <v>4717.066666666665</v>
      </c>
      <c r="N43" s="354">
        <f>'5.Unit investment&amp;opex'!T129</f>
        <v>4481.213333333331</v>
      </c>
      <c r="O43" s="354">
        <f>'5.Unit investment&amp;opex'!U129</f>
        <v>4257.152666666665</v>
      </c>
      <c r="P43" s="355">
        <f aca="true" t="shared" si="39" ref="P43:T45">F43*K43</f>
        <v>26133.333333333336</v>
      </c>
      <c r="Q43" s="355">
        <f t="shared" si="39"/>
        <v>24826.66666666666</v>
      </c>
      <c r="R43" s="355">
        <f t="shared" si="39"/>
        <v>23585.333333333325</v>
      </c>
      <c r="S43" s="355">
        <f t="shared" si="39"/>
        <v>22406.06666666666</v>
      </c>
      <c r="T43" s="355">
        <f t="shared" si="39"/>
        <v>17028.61066666666</v>
      </c>
      <c r="U43" s="363">
        <f>'B. Dashboard'!F$41</f>
        <v>0.14</v>
      </c>
      <c r="V43" s="363">
        <f>'5.Unit investment&amp;opex'!H91</f>
        <v>-0.05</v>
      </c>
      <c r="W43" s="364">
        <f>'5.Unit investment&amp;opex'!F91</f>
        <v>15</v>
      </c>
      <c r="X43" s="363">
        <f>'B. Dashboard'!F$45</f>
        <v>0.2</v>
      </c>
      <c r="Y43" s="361">
        <f>Z43-U43</f>
        <v>0.057494828657955854</v>
      </c>
      <c r="Z43" s="361">
        <f t="shared" si="38"/>
        <v>0.19749482865795587</v>
      </c>
      <c r="AA43" s="355">
        <f t="shared" si="32"/>
        <v>5161.198188927914</v>
      </c>
      <c r="AB43" s="355">
        <f t="shared" si="33"/>
        <v>4903.138279481516</v>
      </c>
      <c r="AC43" s="355">
        <f t="shared" si="34"/>
        <v>4657.98136550744</v>
      </c>
      <c r="AD43" s="355">
        <f t="shared" si="35"/>
        <v>4425.082297232068</v>
      </c>
      <c r="AE43" s="355">
        <f t="shared" si="36"/>
        <v>3363.062545896372</v>
      </c>
      <c r="AF43" s="355">
        <f>F43*'5.Unit investment&amp;opex'!V129</f>
        <v>1568</v>
      </c>
      <c r="AG43" s="355">
        <f>G43*'5.Unit investment&amp;opex'!W129</f>
        <v>1489.6</v>
      </c>
      <c r="AH43" s="355">
        <f>H43*'5.Unit investment&amp;opex'!X129</f>
        <v>1415.1199999999997</v>
      </c>
      <c r="AI43" s="355">
        <f>I43*'5.Unit investment&amp;opex'!Y129</f>
        <v>1344.3639999999996</v>
      </c>
      <c r="AJ43" s="355">
        <f>J43*'5.Unit investment&amp;opex'!Z129</f>
        <v>1021.7166399999996</v>
      </c>
      <c r="AK43" s="428">
        <f aca="true" t="shared" si="40" ref="AK43:AO45">AA43+AF43</f>
        <v>6729.198188927914</v>
      </c>
      <c r="AL43" s="428">
        <f t="shared" si="40"/>
        <v>6392.738279481517</v>
      </c>
      <c r="AM43" s="428">
        <f t="shared" si="40"/>
        <v>6073.10136550744</v>
      </c>
      <c r="AN43" s="428">
        <f t="shared" si="40"/>
        <v>5769.446297232068</v>
      </c>
      <c r="AO43" s="428">
        <f t="shared" si="40"/>
        <v>4384.779185896372</v>
      </c>
      <c r="AQ43" s="73"/>
      <c r="AR43" s="1"/>
    </row>
    <row r="44" spans="1:44" s="97" customFormat="1" ht="12.75">
      <c r="A44" s="1"/>
      <c r="B44" s="54"/>
      <c r="C44" s="352" t="str">
        <f>'C. Masterfiles'!C76</f>
        <v>T08</v>
      </c>
      <c r="D44" s="352" t="str">
        <f>'C. Masterfiles'!D76</f>
        <v>TS-IGW</v>
      </c>
      <c r="E44" s="211"/>
      <c r="F44" s="353">
        <f>'6.Network Design'!G269</f>
        <v>98</v>
      </c>
      <c r="G44" s="353">
        <f>'6.Network Design'!H269</f>
        <v>85</v>
      </c>
      <c r="H44" s="353">
        <f>'6.Network Design'!I269</f>
        <v>96</v>
      </c>
      <c r="I44" s="353">
        <f>'6.Network Design'!J269</f>
        <v>96.00000000000001</v>
      </c>
      <c r="J44" s="353">
        <f>'6.Network Design'!K269</f>
        <v>94</v>
      </c>
      <c r="K44" s="354">
        <f>'5.Unit investment&amp;opex'!Q130</f>
        <v>2859.805825242719</v>
      </c>
      <c r="L44" s="354">
        <f>'5.Unit investment&amp;opex'!R130</f>
        <v>2716.8155339805826</v>
      </c>
      <c r="M44" s="354">
        <f>'5.Unit investment&amp;opex'!S130</f>
        <v>2580.974757281553</v>
      </c>
      <c r="N44" s="354">
        <f>'5.Unit investment&amp;opex'!T130</f>
        <v>2451.9260194174753</v>
      </c>
      <c r="O44" s="354">
        <f>'5.Unit investment&amp;opex'!U130</f>
        <v>2329.329718446602</v>
      </c>
      <c r="P44" s="355">
        <f t="shared" si="39"/>
        <v>280260.9708737865</v>
      </c>
      <c r="Q44" s="355">
        <f t="shared" si="39"/>
        <v>230929.32038834953</v>
      </c>
      <c r="R44" s="355">
        <f t="shared" si="39"/>
        <v>247773.5766990291</v>
      </c>
      <c r="S44" s="355">
        <f t="shared" si="39"/>
        <v>235384.89786407768</v>
      </c>
      <c r="T44" s="355">
        <f t="shared" si="39"/>
        <v>218956.99353398057</v>
      </c>
      <c r="U44" s="363">
        <f>'B. Dashboard'!F$41</f>
        <v>0.14</v>
      </c>
      <c r="V44" s="363">
        <f>'5.Unit investment&amp;opex'!H92</f>
        <v>-0.05</v>
      </c>
      <c r="W44" s="364">
        <f>'5.Unit investment&amp;opex'!F92</f>
        <v>15</v>
      </c>
      <c r="X44" s="363">
        <f>'B. Dashboard'!F$45</f>
        <v>0.2</v>
      </c>
      <c r="Y44" s="361">
        <f>Z44-U44</f>
        <v>0.057494828657955854</v>
      </c>
      <c r="Z44" s="361">
        <f t="shared" si="38"/>
        <v>0.19749482865795587</v>
      </c>
      <c r="AA44" s="355">
        <f aca="true" t="shared" si="41" ref="AA44:AE45">P44*$Z44</f>
        <v>55350.092422230824</v>
      </c>
      <c r="AB44" s="355">
        <f t="shared" si="41"/>
        <v>45607.346562195286</v>
      </c>
      <c r="AC44" s="355">
        <f t="shared" si="41"/>
        <v>48934.00007614364</v>
      </c>
      <c r="AD44" s="355">
        <f t="shared" si="41"/>
        <v>46487.30007233646</v>
      </c>
      <c r="AE44" s="355">
        <f t="shared" si="41"/>
        <v>43242.873921454644</v>
      </c>
      <c r="AF44" s="355">
        <f>F44*'5.Unit investment&amp;opex'!V130</f>
        <v>16815.658252427187</v>
      </c>
      <c r="AG44" s="355">
        <f>G44*'5.Unit investment&amp;opex'!W130</f>
        <v>13855.759223300971</v>
      </c>
      <c r="AH44" s="355">
        <f>H44*'5.Unit investment&amp;opex'!X130</f>
        <v>14866.414601941748</v>
      </c>
      <c r="AI44" s="355">
        <f>I44*'5.Unit investment&amp;opex'!Y130</f>
        <v>14123.093871844663</v>
      </c>
      <c r="AJ44" s="355">
        <f>J44*'5.Unit investment&amp;opex'!Z130</f>
        <v>13137.419612038833</v>
      </c>
      <c r="AK44" s="428">
        <f t="shared" si="40"/>
        <v>72165.75067465802</v>
      </c>
      <c r="AL44" s="428">
        <f t="shared" si="40"/>
        <v>59463.10578549626</v>
      </c>
      <c r="AM44" s="428">
        <f t="shared" si="40"/>
        <v>63800.414678085384</v>
      </c>
      <c r="AN44" s="428">
        <f t="shared" si="40"/>
        <v>60610.39394418112</v>
      </c>
      <c r="AO44" s="428">
        <f t="shared" si="40"/>
        <v>56380.293533493474</v>
      </c>
      <c r="AQ44" s="73"/>
      <c r="AR44" s="1"/>
    </row>
    <row r="45" spans="1:44" s="97" customFormat="1" ht="12.75">
      <c r="A45" s="1"/>
      <c r="B45" s="54"/>
      <c r="C45" s="352" t="str">
        <f>'C. Masterfiles'!C77</f>
        <v>T09</v>
      </c>
      <c r="D45" s="352" t="str">
        <f>'C. Masterfiles'!D77</f>
        <v>LS-LS</v>
      </c>
      <c r="E45" s="211"/>
      <c r="F45" s="353">
        <f>'6.Network Design'!G270</f>
        <v>42</v>
      </c>
      <c r="G45" s="353">
        <f>'6.Network Design'!H270</f>
        <v>42</v>
      </c>
      <c r="H45" s="353">
        <f>'6.Network Design'!I270</f>
        <v>42</v>
      </c>
      <c r="I45" s="353">
        <f>'6.Network Design'!J270</f>
        <v>41</v>
      </c>
      <c r="J45" s="353">
        <f>'6.Network Design'!K270</f>
        <v>39</v>
      </c>
      <c r="K45" s="354">
        <f>'5.Unit investment&amp;opex'!Q131</f>
        <v>2844.8</v>
      </c>
      <c r="L45" s="354">
        <f>'5.Unit investment&amp;opex'!R131</f>
        <v>2702.56</v>
      </c>
      <c r="M45" s="354">
        <f>'5.Unit investment&amp;opex'!S131</f>
        <v>2567.432</v>
      </c>
      <c r="N45" s="354">
        <f>'5.Unit investment&amp;opex'!T131</f>
        <v>2439.0603999999994</v>
      </c>
      <c r="O45" s="354">
        <f>'5.Unit investment&amp;opex'!U131</f>
        <v>2317.1073799999995</v>
      </c>
      <c r="P45" s="355">
        <f t="shared" si="39"/>
        <v>119481.6</v>
      </c>
      <c r="Q45" s="355">
        <f t="shared" si="39"/>
        <v>113507.52</v>
      </c>
      <c r="R45" s="355">
        <f t="shared" si="39"/>
        <v>107832.14399999999</v>
      </c>
      <c r="S45" s="355">
        <f t="shared" si="39"/>
        <v>100001.47639999997</v>
      </c>
      <c r="T45" s="355">
        <f t="shared" si="39"/>
        <v>90367.18781999998</v>
      </c>
      <c r="U45" s="363">
        <f>'B. Dashboard'!F$41</f>
        <v>0.14</v>
      </c>
      <c r="V45" s="363">
        <f>'5.Unit investment&amp;opex'!H93</f>
        <v>-0.05</v>
      </c>
      <c r="W45" s="364">
        <f>'5.Unit investment&amp;opex'!F93</f>
        <v>15</v>
      </c>
      <c r="X45" s="363">
        <f>'B. Dashboard'!F$45</f>
        <v>0.2</v>
      </c>
      <c r="Y45" s="361">
        <f>Z45-U45</f>
        <v>0.057494828657955854</v>
      </c>
      <c r="Z45" s="361">
        <f t="shared" si="38"/>
        <v>0.19749482865795587</v>
      </c>
      <c r="AA45" s="355">
        <f t="shared" si="41"/>
        <v>23596.998119778422</v>
      </c>
      <c r="AB45" s="355">
        <f t="shared" si="41"/>
        <v>22417.1482137895</v>
      </c>
      <c r="AC45" s="355">
        <f t="shared" si="41"/>
        <v>21296.290803100022</v>
      </c>
      <c r="AD45" s="355">
        <f t="shared" si="41"/>
        <v>19749.774447160613</v>
      </c>
      <c r="AE45" s="355">
        <f t="shared" si="41"/>
        <v>17847.052274812213</v>
      </c>
      <c r="AF45" s="355">
        <f>F45*'5.Unit investment&amp;opex'!V131</f>
        <v>7168.896000000001</v>
      </c>
      <c r="AG45" s="355">
        <f>G45*'5.Unit investment&amp;opex'!W131</f>
        <v>6810.4512</v>
      </c>
      <c r="AH45" s="355">
        <f>H45*'5.Unit investment&amp;opex'!X131</f>
        <v>6469.92864</v>
      </c>
      <c r="AI45" s="355">
        <f>I45*'5.Unit investment&amp;opex'!Y131</f>
        <v>6000.088583999999</v>
      </c>
      <c r="AJ45" s="355">
        <f>J45*'5.Unit investment&amp;opex'!Z131</f>
        <v>5422.0312692</v>
      </c>
      <c r="AK45" s="428">
        <f t="shared" si="40"/>
        <v>30765.894119778422</v>
      </c>
      <c r="AL45" s="428">
        <f t="shared" si="40"/>
        <v>29227.5994137895</v>
      </c>
      <c r="AM45" s="428">
        <f t="shared" si="40"/>
        <v>27766.219443100024</v>
      </c>
      <c r="AN45" s="428">
        <f t="shared" si="40"/>
        <v>25749.86303116061</v>
      </c>
      <c r="AO45" s="428">
        <f t="shared" si="40"/>
        <v>23269.083544012214</v>
      </c>
      <c r="AQ45" s="73"/>
      <c r="AR45" s="1"/>
    </row>
    <row r="46" spans="1:44" s="97" customFormat="1" ht="12.75">
      <c r="A46" s="1"/>
      <c r="B46" s="54"/>
      <c r="C46" s="352" t="str">
        <f>'C. Masterfiles'!C78</f>
        <v>End</v>
      </c>
      <c r="D46" s="352" t="str">
        <f>'C. Masterfiles'!D78</f>
        <v>End of list</v>
      </c>
      <c r="E46" s="155"/>
      <c r="F46" s="157"/>
      <c r="G46" s="157"/>
      <c r="H46" s="157"/>
      <c r="I46" s="157"/>
      <c r="J46" s="157"/>
      <c r="K46" s="162"/>
      <c r="L46" s="162"/>
      <c r="M46" s="162"/>
      <c r="N46" s="162"/>
      <c r="O46" s="162"/>
      <c r="P46" s="356">
        <f>SUM(P37:P42)</f>
        <v>305734850.9090909</v>
      </c>
      <c r="Q46" s="356">
        <f>SUM(Q37:Q42)</f>
        <v>264542668.21818182</v>
      </c>
      <c r="R46" s="356">
        <f>SUM(R37:R42)</f>
        <v>236421121.13454548</v>
      </c>
      <c r="S46" s="356">
        <f>SUM(S37:S42)</f>
        <v>210278747.43781817</v>
      </c>
      <c r="T46" s="356">
        <f>SUM(T37:T42)</f>
        <v>183779605.4027818</v>
      </c>
      <c r="U46" s="162"/>
      <c r="V46" s="360"/>
      <c r="W46" s="162"/>
      <c r="X46" s="162"/>
      <c r="Y46" s="162"/>
      <c r="Z46" s="162"/>
      <c r="AA46" s="161">
        <f aca="true" t="shared" si="42" ref="AA46:AO46">SUM(AA37:AA42)</f>
        <v>60381051.99505659</v>
      </c>
      <c r="AB46" s="161">
        <f t="shared" si="42"/>
        <v>52245808.93246829</v>
      </c>
      <c r="AC46" s="161">
        <f t="shared" si="42"/>
        <v>46691948.80958889</v>
      </c>
      <c r="AD46" s="161">
        <f t="shared" si="42"/>
        <v>41528965.19564148</v>
      </c>
      <c r="AE46" s="161">
        <f t="shared" si="42"/>
        <v>36295521.67984913</v>
      </c>
      <c r="AF46" s="161">
        <f t="shared" si="42"/>
        <v>18344091.054545455</v>
      </c>
      <c r="AG46" s="161">
        <f t="shared" si="42"/>
        <v>15872560.093090905</v>
      </c>
      <c r="AH46" s="161">
        <f t="shared" si="42"/>
        <v>14185267.268072724</v>
      </c>
      <c r="AI46" s="161">
        <f t="shared" si="42"/>
        <v>12616724.846269088</v>
      </c>
      <c r="AJ46" s="161">
        <f t="shared" si="42"/>
        <v>11026776.324166907</v>
      </c>
      <c r="AK46" s="161">
        <f t="shared" si="42"/>
        <v>78725143.04960206</v>
      </c>
      <c r="AL46" s="161">
        <f t="shared" si="42"/>
        <v>68118369.0255592</v>
      </c>
      <c r="AM46" s="161">
        <f t="shared" si="42"/>
        <v>60877216.07766162</v>
      </c>
      <c r="AN46" s="161">
        <f t="shared" si="42"/>
        <v>54145690.04191057</v>
      </c>
      <c r="AO46" s="161">
        <f t="shared" si="42"/>
        <v>47322298.004016034</v>
      </c>
      <c r="AQ46" s="73"/>
      <c r="AR46" s="1"/>
    </row>
    <row r="47" ht="12.75"/>
    <row r="48" spans="1:33" ht="12.75">
      <c r="A48" s="167"/>
      <c r="W48" s="88"/>
      <c r="X48" s="88"/>
      <c r="Y48" s="88"/>
      <c r="Z48" s="88"/>
      <c r="AA48" s="88"/>
      <c r="AG48" s="581">
        <f>AG29+AG46</f>
        <v>23097757.093090907</v>
      </c>
    </row>
    <row r="49" ht="12.75">
      <c r="A49" s="167"/>
    </row>
    <row r="50" spans="1:13" ht="15.75">
      <c r="A50" s="28"/>
      <c r="B50" s="267">
        <f>B12+0.01</f>
        <v>7.02</v>
      </c>
      <c r="C50" s="29" t="s">
        <v>763</v>
      </c>
      <c r="D50" s="28"/>
      <c r="E50" s="30"/>
      <c r="F50" s="28"/>
      <c r="G50" s="28"/>
      <c r="H50" s="28"/>
      <c r="I50" s="28"/>
      <c r="J50" s="28"/>
      <c r="L50" s="28"/>
      <c r="M50" s="28"/>
    </row>
    <row r="51" ht="12.75"/>
    <row r="53" spans="3:10" ht="12.75">
      <c r="C53" s="90" t="s">
        <v>636</v>
      </c>
      <c r="D53" s="166"/>
      <c r="E53" s="166"/>
      <c r="F53" s="209" t="s">
        <v>760</v>
      </c>
      <c r="G53" s="209"/>
      <c r="H53" s="209"/>
      <c r="I53" s="209"/>
      <c r="J53" s="210"/>
    </row>
    <row r="54" spans="3:10" ht="12.75">
      <c r="C54" s="166"/>
      <c r="D54" s="166"/>
      <c r="E54" s="166"/>
      <c r="F54" s="166">
        <f>'C. Masterfiles'!E$99</f>
        <v>2008</v>
      </c>
      <c r="G54" s="166">
        <f>'C. Masterfiles'!F$99</f>
        <v>2009</v>
      </c>
      <c r="H54" s="166">
        <f>'C. Masterfiles'!G$99</f>
        <v>2010</v>
      </c>
      <c r="I54" s="166">
        <f>'C. Masterfiles'!H$99</f>
        <v>2011</v>
      </c>
      <c r="J54" s="166">
        <f>'C. Masterfiles'!I$99</f>
        <v>2012</v>
      </c>
    </row>
    <row r="55" spans="1:13" ht="12.75">
      <c r="A55" s="97"/>
      <c r="C55" s="166" t="s">
        <v>745</v>
      </c>
      <c r="D55" s="166"/>
      <c r="E55" s="166"/>
      <c r="F55" s="166" t="str">
        <f>'C. Masterfiles'!$D$110</f>
        <v>Euro</v>
      </c>
      <c r="G55" s="166" t="str">
        <f aca="true" t="shared" si="43" ref="G55:J56">F55</f>
        <v>Euro</v>
      </c>
      <c r="H55" s="166" t="str">
        <f t="shared" si="43"/>
        <v>Euro</v>
      </c>
      <c r="I55" s="184" t="str">
        <f t="shared" si="43"/>
        <v>Euro</v>
      </c>
      <c r="J55" s="166" t="str">
        <f t="shared" si="43"/>
        <v>Euro</v>
      </c>
      <c r="L55" s="97"/>
      <c r="M55" s="97"/>
    </row>
    <row r="56" spans="1:13" ht="12.75">
      <c r="A56" s="167">
        <v>0</v>
      </c>
      <c r="B56" s="274"/>
      <c r="C56" s="164" t="s">
        <v>634</v>
      </c>
      <c r="D56" s="164" t="s">
        <v>719</v>
      </c>
      <c r="E56" s="164" t="s">
        <v>633</v>
      </c>
      <c r="F56" s="165" t="s">
        <v>746</v>
      </c>
      <c r="G56" s="165" t="str">
        <f t="shared" si="43"/>
        <v>Total Annual Cost</v>
      </c>
      <c r="H56" s="165" t="str">
        <f t="shared" si="43"/>
        <v>Total Annual Cost</v>
      </c>
      <c r="I56" s="165" t="str">
        <f t="shared" si="43"/>
        <v>Total Annual Cost</v>
      </c>
      <c r="J56" s="165" t="str">
        <f t="shared" si="43"/>
        <v>Total Annual Cost</v>
      </c>
      <c r="L56" s="163"/>
      <c r="M56" s="163"/>
    </row>
    <row r="57" spans="1:10" ht="12.75">
      <c r="A57" s="145"/>
      <c r="C57" s="160" t="str">
        <f>'C. Masterfiles'!C53</f>
        <v>N01</v>
      </c>
      <c r="D57" s="160" t="str">
        <f>'C. Masterfiles'!D53</f>
        <v>Remote Access Unit</v>
      </c>
      <c r="E57" s="160" t="str">
        <f>'C. Masterfiles'!E53</f>
        <v>RAU</v>
      </c>
      <c r="F57" s="355">
        <f aca="true" t="shared" si="44" ref="F57:F66">AK19</f>
        <v>5169915.070307168</v>
      </c>
      <c r="G57" s="355">
        <f aca="true" t="shared" si="45" ref="G57:G66">AL19</f>
        <v>6223034.685158733</v>
      </c>
      <c r="H57" s="355">
        <f aca="true" t="shared" si="46" ref="H57:H66">AM19</f>
        <v>7295153.262740621</v>
      </c>
      <c r="I57" s="355">
        <f aca="true" t="shared" si="47" ref="I57:I66">AN19</f>
        <v>8417529.213192485</v>
      </c>
      <c r="J57" s="355">
        <f aca="true" t="shared" si="48" ref="J57:J66">AO19</f>
        <v>9598029.771391869</v>
      </c>
    </row>
    <row r="58" spans="1:10" ht="12.75">
      <c r="A58" s="145"/>
      <c r="C58" s="160" t="str">
        <f>'C. Masterfiles'!C54</f>
        <v>N02</v>
      </c>
      <c r="D58" s="160" t="str">
        <f>'C. Masterfiles'!D54</f>
        <v>Local Switch</v>
      </c>
      <c r="E58" s="160" t="str">
        <f>'C. Masterfiles'!E54</f>
        <v>LS</v>
      </c>
      <c r="F58" s="355">
        <f t="shared" si="44"/>
        <v>10900595.603989512</v>
      </c>
      <c r="G58" s="355">
        <f t="shared" si="45"/>
        <v>9653091.394760769</v>
      </c>
      <c r="H58" s="355">
        <f t="shared" si="46"/>
        <v>8341400.935671349</v>
      </c>
      <c r="I58" s="355">
        <f t="shared" si="47"/>
        <v>7041745.872493555</v>
      </c>
      <c r="J58" s="355">
        <f t="shared" si="48"/>
        <v>5729143.141053426</v>
      </c>
    </row>
    <row r="59" spans="1:10" ht="12.75">
      <c r="A59" s="145"/>
      <c r="C59" s="160" t="str">
        <f>'C. Masterfiles'!C55</f>
        <v>N03</v>
      </c>
      <c r="D59" s="160" t="str">
        <f>'C. Masterfiles'!D55</f>
        <v>Tandem Switch</v>
      </c>
      <c r="E59" s="160" t="str">
        <f>'C. Masterfiles'!E55</f>
        <v>TS</v>
      </c>
      <c r="F59" s="355">
        <f t="shared" si="44"/>
        <v>1218700.1296385787</v>
      </c>
      <c r="G59" s="355">
        <f t="shared" si="45"/>
        <v>1102256.1108204338</v>
      </c>
      <c r="H59" s="355">
        <f t="shared" si="46"/>
        <v>1057128.0393722104</v>
      </c>
      <c r="I59" s="355">
        <f t="shared" si="47"/>
        <v>1015321.4978944196</v>
      </c>
      <c r="J59" s="355">
        <f t="shared" si="48"/>
        <v>944006.5402872122</v>
      </c>
    </row>
    <row r="60" spans="1:10" ht="12.75">
      <c r="A60" s="145"/>
      <c r="C60" s="160" t="str">
        <f>'C. Masterfiles'!C56</f>
        <v>N04</v>
      </c>
      <c r="D60" s="160" t="str">
        <f>'C. Masterfiles'!D56</f>
        <v>International switching centre</v>
      </c>
      <c r="E60" s="160" t="str">
        <f>'C. Masterfiles'!E56</f>
        <v>ISC</v>
      </c>
      <c r="F60" s="355">
        <f t="shared" si="44"/>
        <v>677055.6275769882</v>
      </c>
      <c r="G60" s="355">
        <f t="shared" si="45"/>
        <v>668034.0065578388</v>
      </c>
      <c r="H60" s="355">
        <f t="shared" si="46"/>
        <v>660705.0246076316</v>
      </c>
      <c r="I60" s="355">
        <f t="shared" si="47"/>
        <v>655046.1276738191</v>
      </c>
      <c r="J60" s="355">
        <f t="shared" si="48"/>
        <v>651038.9933015257</v>
      </c>
    </row>
    <row r="61" spans="1:10" ht="12.75">
      <c r="A61" s="145"/>
      <c r="C61" s="160" t="str">
        <f>'C. Masterfiles'!C57</f>
        <v>N05</v>
      </c>
      <c r="D61" s="160" t="str">
        <f>'C. Masterfiles'!D57</f>
        <v>Interconnect gateway</v>
      </c>
      <c r="E61" s="160" t="str">
        <f>'C. Masterfiles'!E57</f>
        <v>IGW</v>
      </c>
      <c r="F61" s="355">
        <f t="shared" si="44"/>
        <v>270822.2510307953</v>
      </c>
      <c r="G61" s="355">
        <f t="shared" si="45"/>
        <v>267213.60262313543</v>
      </c>
      <c r="H61" s="355">
        <f t="shared" si="46"/>
        <v>264282.0098430526</v>
      </c>
      <c r="I61" s="355">
        <f t="shared" si="47"/>
        <v>262018.45106952765</v>
      </c>
      <c r="J61" s="355">
        <f t="shared" si="48"/>
        <v>260415.59732061025</v>
      </c>
    </row>
    <row r="62" spans="1:10" ht="12.75">
      <c r="A62" s="145"/>
      <c r="C62" s="160" t="str">
        <f>'C. Masterfiles'!C58</f>
        <v>N06</v>
      </c>
      <c r="D62" s="160" t="str">
        <f>'C. Masterfiles'!D58</f>
        <v>Intelligent network </v>
      </c>
      <c r="E62" s="160" t="str">
        <f>'C. Masterfiles'!E58</f>
        <v>IN</v>
      </c>
      <c r="F62" s="355">
        <f t="shared" si="44"/>
        <v>1933184.393824275</v>
      </c>
      <c r="G62" s="355">
        <f t="shared" si="45"/>
        <v>1954171.5199783589</v>
      </c>
      <c r="H62" s="355">
        <f t="shared" si="46"/>
        <v>1977721.4443108896</v>
      </c>
      <c r="I62" s="355">
        <f t="shared" si="47"/>
        <v>2003932.0378933747</v>
      </c>
      <c r="J62" s="355">
        <f t="shared" si="48"/>
        <v>2032906.6707276453</v>
      </c>
    </row>
    <row r="63" spans="1:10" ht="12.75">
      <c r="A63" s="145"/>
      <c r="C63" s="160" t="str">
        <f>'C. Masterfiles'!C59</f>
        <v>N07</v>
      </c>
      <c r="D63" s="160" t="str">
        <f>'C. Masterfiles'!D59</f>
        <v>Retail Billing System</v>
      </c>
      <c r="E63" s="160" t="str">
        <f>'C. Masterfiles'!E59</f>
        <v>RBIL</v>
      </c>
      <c r="F63" s="355">
        <f t="shared" si="44"/>
        <v>966592.1969121374</v>
      </c>
      <c r="G63" s="355">
        <f t="shared" si="45"/>
        <v>977085.7599891794</v>
      </c>
      <c r="H63" s="355">
        <f t="shared" si="46"/>
        <v>988860.7221554448</v>
      </c>
      <c r="I63" s="355">
        <f t="shared" si="47"/>
        <v>1001966.0189466873</v>
      </c>
      <c r="J63" s="355">
        <f t="shared" si="48"/>
        <v>1016453.3353638226</v>
      </c>
    </row>
    <row r="64" spans="1:10" ht="12.75">
      <c r="A64" s="145"/>
      <c r="C64" s="160" t="str">
        <f>'C. Masterfiles'!C60</f>
        <v>N08</v>
      </c>
      <c r="D64" s="160" t="str">
        <f>'C. Masterfiles'!D60</f>
        <v>Interconnection Billing System</v>
      </c>
      <c r="E64" s="160" t="str">
        <f>'C. Masterfiles'!E60</f>
        <v>IBIL</v>
      </c>
      <c r="F64" s="355">
        <f t="shared" si="44"/>
        <v>483296.0984560687</v>
      </c>
      <c r="G64" s="355">
        <f t="shared" si="45"/>
        <v>488542.8799945897</v>
      </c>
      <c r="H64" s="355">
        <f t="shared" si="46"/>
        <v>494430.3610777224</v>
      </c>
      <c r="I64" s="355">
        <f t="shared" si="47"/>
        <v>500983.00947334367</v>
      </c>
      <c r="J64" s="355">
        <f t="shared" si="48"/>
        <v>508226.6676819113</v>
      </c>
    </row>
    <row r="65" spans="1:10" ht="12.75">
      <c r="A65" s="145"/>
      <c r="C65" s="160" t="str">
        <f>'C. Masterfiles'!C61</f>
        <v>N09</v>
      </c>
      <c r="D65" s="160" t="str">
        <f>'C. Masterfiles'!D61</f>
        <v>Network management system</v>
      </c>
      <c r="E65" s="160" t="str">
        <f>'C. Masterfiles'!E61</f>
        <v>NMS</v>
      </c>
      <c r="F65" s="355">
        <f t="shared" si="44"/>
        <v>966592.1969121374</v>
      </c>
      <c r="G65" s="355">
        <f t="shared" si="45"/>
        <v>977085.7599891794</v>
      </c>
      <c r="H65" s="355">
        <f t="shared" si="46"/>
        <v>988860.7221554448</v>
      </c>
      <c r="I65" s="355">
        <f t="shared" si="47"/>
        <v>1001966.0189466873</v>
      </c>
      <c r="J65" s="355">
        <f t="shared" si="48"/>
        <v>1016453.3353638226</v>
      </c>
    </row>
    <row r="66" spans="1:10" ht="12.75">
      <c r="A66" s="145"/>
      <c r="C66" s="160" t="str">
        <f>'C. Masterfiles'!C62</f>
        <v>N10</v>
      </c>
      <c r="D66" s="160" t="str">
        <f>'C. Masterfiles'!D62</f>
        <v>Operational support system</v>
      </c>
      <c r="E66" s="160" t="str">
        <f>'C. Masterfiles'!E62</f>
        <v>OSS</v>
      </c>
      <c r="F66" s="355">
        <f t="shared" si="44"/>
        <v>677055.6275769882</v>
      </c>
      <c r="G66" s="355">
        <f t="shared" si="45"/>
        <v>668034.0065578388</v>
      </c>
      <c r="H66" s="355">
        <f t="shared" si="46"/>
        <v>660705.0246076316</v>
      </c>
      <c r="I66" s="355">
        <f t="shared" si="47"/>
        <v>655046.1276738191</v>
      </c>
      <c r="J66" s="355">
        <f t="shared" si="48"/>
        <v>651038.9933015257</v>
      </c>
    </row>
    <row r="67" spans="1:11" ht="12.75">
      <c r="A67" s="145"/>
      <c r="C67" s="42" t="str">
        <f>'C. Masterfiles'!C63</f>
        <v>End</v>
      </c>
      <c r="D67" s="42" t="str">
        <f>'C. Masterfiles'!D63</f>
        <v>End of list</v>
      </c>
      <c r="E67" s="155"/>
      <c r="F67" s="155"/>
      <c r="G67" s="155"/>
      <c r="H67" s="155"/>
      <c r="I67" s="155"/>
      <c r="J67" s="155"/>
      <c r="K67" s="212"/>
    </row>
    <row r="68" ht="12.75">
      <c r="A68" s="145"/>
    </row>
    <row r="69" ht="12.75">
      <c r="A69" s="145"/>
    </row>
    <row r="70" spans="1:10" ht="12.75">
      <c r="A70" s="145"/>
      <c r="C70" s="90" t="s">
        <v>15</v>
      </c>
      <c r="D70" s="166"/>
      <c r="E70" s="166"/>
      <c r="F70" s="209" t="s">
        <v>760</v>
      </c>
      <c r="G70" s="209"/>
      <c r="H70" s="209"/>
      <c r="I70" s="209"/>
      <c r="J70" s="210"/>
    </row>
    <row r="71" spans="1:10" ht="12.75">
      <c r="A71" s="145"/>
      <c r="C71" s="166"/>
      <c r="D71" s="166"/>
      <c r="E71" s="166"/>
      <c r="F71" s="166">
        <f>'C. Masterfiles'!E$99</f>
        <v>2008</v>
      </c>
      <c r="G71" s="166">
        <f>'C. Masterfiles'!F$99</f>
        <v>2009</v>
      </c>
      <c r="H71" s="166">
        <f>'C. Masterfiles'!G$99</f>
        <v>2010</v>
      </c>
      <c r="I71" s="166">
        <f>'C. Masterfiles'!H$99</f>
        <v>2011</v>
      </c>
      <c r="J71" s="166">
        <f>'C. Masterfiles'!I$99</f>
        <v>2012</v>
      </c>
    </row>
    <row r="72" spans="1:10" ht="12.75">
      <c r="A72" s="145"/>
      <c r="C72" s="166" t="s">
        <v>745</v>
      </c>
      <c r="D72" s="166"/>
      <c r="E72" s="166"/>
      <c r="F72" s="166" t="str">
        <f>'C. Masterfiles'!$D$110</f>
        <v>Euro</v>
      </c>
      <c r="G72" s="166" t="str">
        <f aca="true" t="shared" si="49" ref="G72:J73">F72</f>
        <v>Euro</v>
      </c>
      <c r="H72" s="166" t="str">
        <f t="shared" si="49"/>
        <v>Euro</v>
      </c>
      <c r="I72" s="184" t="str">
        <f t="shared" si="49"/>
        <v>Euro</v>
      </c>
      <c r="J72" s="166" t="str">
        <f t="shared" si="49"/>
        <v>Euro</v>
      </c>
    </row>
    <row r="73" spans="1:10" ht="12.75">
      <c r="A73" s="145"/>
      <c r="C73" s="164" t="s">
        <v>634</v>
      </c>
      <c r="D73" s="164" t="s">
        <v>719</v>
      </c>
      <c r="E73" s="164"/>
      <c r="F73" s="165" t="s">
        <v>746</v>
      </c>
      <c r="G73" s="165" t="str">
        <f t="shared" si="49"/>
        <v>Total Annual Cost</v>
      </c>
      <c r="H73" s="165" t="str">
        <f t="shared" si="49"/>
        <v>Total Annual Cost</v>
      </c>
      <c r="I73" s="165" t="str">
        <f t="shared" si="49"/>
        <v>Total Annual Cost</v>
      </c>
      <c r="J73" s="165" t="str">
        <f t="shared" si="49"/>
        <v>Total Annual Cost</v>
      </c>
    </row>
    <row r="74" spans="1:10" ht="12.75">
      <c r="A74" s="145"/>
      <c r="C74" s="160" t="str">
        <f>'C. Masterfiles'!C69</f>
        <v>T01</v>
      </c>
      <c r="D74" s="160" t="str">
        <f>'C. Masterfiles'!D69</f>
        <v>Rau-TS</v>
      </c>
      <c r="E74" s="365"/>
      <c r="F74" s="432">
        <f aca="true" t="shared" si="50" ref="F74:F82">AK37</f>
        <v>6235082.779055206</v>
      </c>
      <c r="G74" s="432">
        <f aca="true" t="shared" si="51" ref="G74:G82">AL37</f>
        <v>5701847.656168181</v>
      </c>
      <c r="H74" s="432">
        <f aca="true" t="shared" si="52" ref="H74:H82">AM37</f>
        <v>5221027.89220856</v>
      </c>
      <c r="I74" s="432">
        <f aca="true" t="shared" si="53" ref="I74:I82">AN37</f>
        <v>4750792.858992775</v>
      </c>
      <c r="J74" s="432">
        <f aca="true" t="shared" si="54" ref="J74:J82">AO37</f>
        <v>4243871.17477246</v>
      </c>
    </row>
    <row r="75" spans="1:10" ht="12.75">
      <c r="A75" s="145"/>
      <c r="C75" s="160" t="str">
        <f>'C. Masterfiles'!C70</f>
        <v>T02</v>
      </c>
      <c r="D75" s="160" t="str">
        <f>'C. Masterfiles'!D70</f>
        <v>LS-TS</v>
      </c>
      <c r="E75" s="365"/>
      <c r="F75" s="432">
        <f t="shared" si="50"/>
        <v>5683541.964897504</v>
      </c>
      <c r="G75" s="432">
        <f t="shared" si="51"/>
        <v>5196947.526403229</v>
      </c>
      <c r="H75" s="432">
        <f t="shared" si="52"/>
        <v>4758219.709862666</v>
      </c>
      <c r="I75" s="432">
        <f t="shared" si="53"/>
        <v>4333378.664339213</v>
      </c>
      <c r="J75" s="432">
        <f t="shared" si="54"/>
        <v>3870514.3452414116</v>
      </c>
    </row>
    <row r="76" spans="1:10" ht="12.75">
      <c r="A76" s="145"/>
      <c r="C76" s="160" t="str">
        <f>'C. Masterfiles'!C71</f>
        <v>T03</v>
      </c>
      <c r="D76" s="160" t="str">
        <f>'C. Masterfiles'!D71</f>
        <v>TS-TS</v>
      </c>
      <c r="E76" s="365"/>
      <c r="F76" s="432">
        <f t="shared" si="50"/>
        <v>17006029.663058624</v>
      </c>
      <c r="G76" s="432">
        <f t="shared" si="51"/>
        <v>16155728.17990569</v>
      </c>
      <c r="H76" s="432">
        <f t="shared" si="52"/>
        <v>15216762.781415448</v>
      </c>
      <c r="I76" s="432">
        <f t="shared" si="53"/>
        <v>14082064.522284035</v>
      </c>
      <c r="J76" s="432">
        <f t="shared" si="54"/>
        <v>12667627.06805462</v>
      </c>
    </row>
    <row r="77" spans="1:10" ht="12.75">
      <c r="A77" s="145"/>
      <c r="C77" s="160" t="str">
        <f>'C. Masterfiles'!C72</f>
        <v>T04</v>
      </c>
      <c r="D77" s="160" t="str">
        <f>'C. Masterfiles'!D72</f>
        <v>TS-ISC</v>
      </c>
      <c r="E77" s="365"/>
      <c r="F77" s="432">
        <f t="shared" si="50"/>
        <v>48837828.775963224</v>
      </c>
      <c r="G77" s="432">
        <f t="shared" si="51"/>
        <v>40320278.87634583</v>
      </c>
      <c r="H77" s="432">
        <f t="shared" si="52"/>
        <v>34893611.20565956</v>
      </c>
      <c r="I77" s="432">
        <f t="shared" si="53"/>
        <v>30282669.724911682</v>
      </c>
      <c r="J77" s="432">
        <f t="shared" si="54"/>
        <v>25927199.32620525</v>
      </c>
    </row>
    <row r="78" spans="1:10" ht="12.75">
      <c r="A78" s="145"/>
      <c r="C78" s="160" t="str">
        <f>'C. Masterfiles'!C73</f>
        <v>T05</v>
      </c>
      <c r="D78" s="160" t="str">
        <f>'C. Masterfiles'!D73</f>
        <v>ISC-ISC</v>
      </c>
      <c r="E78" s="365"/>
      <c r="F78" s="432">
        <f t="shared" si="50"/>
        <v>959775.9245465184</v>
      </c>
      <c r="G78" s="432">
        <f t="shared" si="51"/>
        <v>740827.0417593438</v>
      </c>
      <c r="H78" s="432">
        <f t="shared" si="52"/>
        <v>784991.7307873047</v>
      </c>
      <c r="I78" s="432">
        <f t="shared" si="53"/>
        <v>694311.651541185</v>
      </c>
      <c r="J78" s="432">
        <f t="shared" si="54"/>
        <v>610737.100892709</v>
      </c>
    </row>
    <row r="79" spans="1:10" ht="12.75">
      <c r="A79" s="145"/>
      <c r="C79" s="160" t="str">
        <f>'C. Masterfiles'!C74</f>
        <v>T06</v>
      </c>
      <c r="D79" s="160" t="str">
        <f>'C. Masterfiles'!D74</f>
        <v>ISC-IN</v>
      </c>
      <c r="E79" s="365"/>
      <c r="F79" s="432">
        <f t="shared" si="50"/>
        <v>2883.9420809691055</v>
      </c>
      <c r="G79" s="432">
        <f t="shared" si="51"/>
        <v>2739.7449769206505</v>
      </c>
      <c r="H79" s="432">
        <f t="shared" si="52"/>
        <v>2602.7577280746177</v>
      </c>
      <c r="I79" s="432">
        <f t="shared" si="53"/>
        <v>2472.619841670887</v>
      </c>
      <c r="J79" s="432">
        <f t="shared" si="54"/>
        <v>2348.9888495873424</v>
      </c>
    </row>
    <row r="80" spans="1:10" ht="12.75">
      <c r="A80" s="145"/>
      <c r="C80" s="160" t="str">
        <f>'C. Masterfiles'!C75</f>
        <v>T07</v>
      </c>
      <c r="D80" s="160" t="str">
        <f>'C. Masterfiles'!D75</f>
        <v>TS-IN</v>
      </c>
      <c r="E80" s="365"/>
      <c r="F80" s="432">
        <f t="shared" si="50"/>
        <v>6729.198188927914</v>
      </c>
      <c r="G80" s="432">
        <f t="shared" si="51"/>
        <v>6392.738279481517</v>
      </c>
      <c r="H80" s="432">
        <f t="shared" si="52"/>
        <v>6073.10136550744</v>
      </c>
      <c r="I80" s="432">
        <f t="shared" si="53"/>
        <v>5769.446297232068</v>
      </c>
      <c r="J80" s="432">
        <f t="shared" si="54"/>
        <v>4384.779185896372</v>
      </c>
    </row>
    <row r="81" spans="1:10" ht="12.75">
      <c r="A81" s="145"/>
      <c r="C81" s="160" t="str">
        <f>'C. Masterfiles'!C76</f>
        <v>T08</v>
      </c>
      <c r="D81" s="160" t="str">
        <f>'C. Masterfiles'!D76</f>
        <v>TS-IGW</v>
      </c>
      <c r="E81" s="365"/>
      <c r="F81" s="432">
        <f t="shared" si="50"/>
        <v>72165.75067465802</v>
      </c>
      <c r="G81" s="432">
        <f t="shared" si="51"/>
        <v>59463.10578549626</v>
      </c>
      <c r="H81" s="432">
        <f t="shared" si="52"/>
        <v>63800.414678085384</v>
      </c>
      <c r="I81" s="432">
        <f t="shared" si="53"/>
        <v>60610.39394418112</v>
      </c>
      <c r="J81" s="432">
        <f t="shared" si="54"/>
        <v>56380.293533493474</v>
      </c>
    </row>
    <row r="82" spans="1:10" ht="12.75">
      <c r="A82" s="145"/>
      <c r="C82" s="160" t="str">
        <f>'C. Masterfiles'!C77</f>
        <v>T09</v>
      </c>
      <c r="D82" s="160" t="str">
        <f>'C. Masterfiles'!D77</f>
        <v>LS-LS</v>
      </c>
      <c r="E82" s="365"/>
      <c r="F82" s="432">
        <f t="shared" si="50"/>
        <v>30765.894119778422</v>
      </c>
      <c r="G82" s="432">
        <f t="shared" si="51"/>
        <v>29227.5994137895</v>
      </c>
      <c r="H82" s="432">
        <f t="shared" si="52"/>
        <v>27766.219443100024</v>
      </c>
      <c r="I82" s="432">
        <f t="shared" si="53"/>
        <v>25749.86303116061</v>
      </c>
      <c r="J82" s="432">
        <f t="shared" si="54"/>
        <v>23269.083544012214</v>
      </c>
    </row>
    <row r="83" spans="1:10" ht="12.75">
      <c r="A83" s="145"/>
      <c r="C83" s="160" t="str">
        <f>'C. Masterfiles'!C78</f>
        <v>End</v>
      </c>
      <c r="D83" s="160" t="str">
        <f>'C. Masterfiles'!D78</f>
        <v>End of list</v>
      </c>
      <c r="E83" s="155"/>
      <c r="F83" s="155"/>
      <c r="G83" s="155"/>
      <c r="H83" s="155"/>
      <c r="I83" s="155"/>
      <c r="J83" s="155"/>
    </row>
    <row r="84" ht="12.75">
      <c r="A84" s="145"/>
    </row>
    <row r="86" spans="1:13" ht="15.75">
      <c r="A86" s="28"/>
      <c r="B86" s="267"/>
      <c r="C86" s="29"/>
      <c r="D86" s="28"/>
      <c r="E86" s="30"/>
      <c r="L86" s="28"/>
      <c r="M86" s="28"/>
    </row>
    <row r="87" spans="3:10" ht="12.75">
      <c r="C87" s="90" t="s">
        <v>19</v>
      </c>
      <c r="D87" s="166"/>
      <c r="E87" s="166"/>
      <c r="F87" s="209" t="s">
        <v>760</v>
      </c>
      <c r="G87" s="209"/>
      <c r="H87" s="209"/>
      <c r="I87" s="209"/>
      <c r="J87" s="210"/>
    </row>
    <row r="88" spans="3:10" ht="12.75">
      <c r="C88" s="166"/>
      <c r="D88" s="166"/>
      <c r="E88" s="166"/>
      <c r="F88" s="92">
        <f>'C. Masterfiles'!E$99</f>
        <v>2008</v>
      </c>
      <c r="G88" s="92">
        <f>'C. Masterfiles'!F$99</f>
        <v>2009</v>
      </c>
      <c r="H88" s="92">
        <f>'C. Masterfiles'!G$99</f>
        <v>2010</v>
      </c>
      <c r="I88" s="92">
        <f>'C. Masterfiles'!H$99</f>
        <v>2011</v>
      </c>
      <c r="J88" s="92">
        <f>'C. Masterfiles'!I$99</f>
        <v>2012</v>
      </c>
    </row>
    <row r="89" spans="3:10" ht="12.75">
      <c r="C89" s="164" t="s">
        <v>634</v>
      </c>
      <c r="D89" s="164" t="s">
        <v>719</v>
      </c>
      <c r="E89" s="166"/>
      <c r="F89" s="92" t="str">
        <f>'C. Masterfiles'!$D$110</f>
        <v>Euro</v>
      </c>
      <c r="G89" s="92" t="str">
        <f>F89</f>
        <v>Euro</v>
      </c>
      <c r="H89" s="92" t="str">
        <f>G89</f>
        <v>Euro</v>
      </c>
      <c r="I89" s="127" t="s">
        <v>815</v>
      </c>
      <c r="J89" s="92" t="str">
        <f>I89</f>
        <v>Euro</v>
      </c>
    </row>
    <row r="90" spans="3:10" ht="12.75">
      <c r="C90" s="160" t="str">
        <f>'C. Masterfiles'!C53</f>
        <v>N01</v>
      </c>
      <c r="D90" s="160" t="str">
        <f>'C. Masterfiles'!D53</f>
        <v>Remote Access Unit</v>
      </c>
      <c r="E90" s="160" t="str">
        <f>'C. Masterfiles'!E53</f>
        <v>RAU</v>
      </c>
      <c r="F90" s="572">
        <f aca="true" t="shared" si="55" ref="F90:J99">F57</f>
        <v>5169915.070307168</v>
      </c>
      <c r="G90" s="572">
        <f t="shared" si="55"/>
        <v>6223034.685158733</v>
      </c>
      <c r="H90" s="572">
        <f t="shared" si="55"/>
        <v>7295153.262740621</v>
      </c>
      <c r="I90" s="572">
        <f t="shared" si="55"/>
        <v>8417529.213192485</v>
      </c>
      <c r="J90" s="572">
        <f t="shared" si="55"/>
        <v>9598029.771391869</v>
      </c>
    </row>
    <row r="91" spans="3:10" ht="12.75">
      <c r="C91" s="160" t="str">
        <f>'C. Masterfiles'!C54</f>
        <v>N02</v>
      </c>
      <c r="D91" s="160" t="str">
        <f>'C. Masterfiles'!D54</f>
        <v>Local Switch</v>
      </c>
      <c r="E91" s="160" t="str">
        <f>'C. Masterfiles'!E54</f>
        <v>LS</v>
      </c>
      <c r="F91" s="572">
        <f t="shared" si="55"/>
        <v>10900595.603989512</v>
      </c>
      <c r="G91" s="572">
        <f t="shared" si="55"/>
        <v>9653091.394760769</v>
      </c>
      <c r="H91" s="572">
        <f t="shared" si="55"/>
        <v>8341400.935671349</v>
      </c>
      <c r="I91" s="572">
        <f t="shared" si="55"/>
        <v>7041745.872493555</v>
      </c>
      <c r="J91" s="572">
        <f t="shared" si="55"/>
        <v>5729143.141053426</v>
      </c>
    </row>
    <row r="92" spans="3:10" ht="12.75">
      <c r="C92" s="160" t="str">
        <f>'C. Masterfiles'!C55</f>
        <v>N03</v>
      </c>
      <c r="D92" s="160" t="str">
        <f>'C. Masterfiles'!D55</f>
        <v>Tandem Switch</v>
      </c>
      <c r="E92" s="160" t="str">
        <f>'C. Masterfiles'!E55</f>
        <v>TS</v>
      </c>
      <c r="F92" s="572">
        <f t="shared" si="55"/>
        <v>1218700.1296385787</v>
      </c>
      <c r="G92" s="572">
        <f t="shared" si="55"/>
        <v>1102256.1108204338</v>
      </c>
      <c r="H92" s="572">
        <f t="shared" si="55"/>
        <v>1057128.0393722104</v>
      </c>
      <c r="I92" s="572">
        <f t="shared" si="55"/>
        <v>1015321.4978944196</v>
      </c>
      <c r="J92" s="572">
        <f t="shared" si="55"/>
        <v>944006.5402872122</v>
      </c>
    </row>
    <row r="93" spans="3:10" ht="12.75">
      <c r="C93" s="160" t="str">
        <f>'C. Masterfiles'!C56</f>
        <v>N04</v>
      </c>
      <c r="D93" s="160" t="str">
        <f>'C. Masterfiles'!D56</f>
        <v>International switching centre</v>
      </c>
      <c r="E93" s="160" t="str">
        <f>'C. Masterfiles'!E56</f>
        <v>ISC</v>
      </c>
      <c r="F93" s="572">
        <f t="shared" si="55"/>
        <v>677055.6275769882</v>
      </c>
      <c r="G93" s="572">
        <f t="shared" si="55"/>
        <v>668034.0065578388</v>
      </c>
      <c r="H93" s="572">
        <f t="shared" si="55"/>
        <v>660705.0246076316</v>
      </c>
      <c r="I93" s="572">
        <f t="shared" si="55"/>
        <v>655046.1276738191</v>
      </c>
      <c r="J93" s="572">
        <f t="shared" si="55"/>
        <v>651038.9933015257</v>
      </c>
    </row>
    <row r="94" spans="3:10" ht="12.75">
      <c r="C94" s="160" t="str">
        <f>'C. Masterfiles'!C57</f>
        <v>N05</v>
      </c>
      <c r="D94" s="160" t="str">
        <f>'C. Masterfiles'!D57</f>
        <v>Interconnect gateway</v>
      </c>
      <c r="E94" s="160" t="str">
        <f>'C. Masterfiles'!E57</f>
        <v>IGW</v>
      </c>
      <c r="F94" s="572">
        <f t="shared" si="55"/>
        <v>270822.2510307953</v>
      </c>
      <c r="G94" s="572">
        <f t="shared" si="55"/>
        <v>267213.60262313543</v>
      </c>
      <c r="H94" s="572">
        <f t="shared" si="55"/>
        <v>264282.0098430526</v>
      </c>
      <c r="I94" s="572">
        <f t="shared" si="55"/>
        <v>262018.45106952765</v>
      </c>
      <c r="J94" s="572">
        <f t="shared" si="55"/>
        <v>260415.59732061025</v>
      </c>
    </row>
    <row r="95" spans="3:10" ht="12.75">
      <c r="C95" s="160" t="str">
        <f>'C. Masterfiles'!C58</f>
        <v>N06</v>
      </c>
      <c r="D95" s="160" t="str">
        <f>'C. Masterfiles'!D58</f>
        <v>Intelligent network </v>
      </c>
      <c r="E95" s="160" t="str">
        <f>'C. Masterfiles'!E58</f>
        <v>IN</v>
      </c>
      <c r="F95" s="572">
        <f t="shared" si="55"/>
        <v>1933184.393824275</v>
      </c>
      <c r="G95" s="572">
        <f t="shared" si="55"/>
        <v>1954171.5199783589</v>
      </c>
      <c r="H95" s="572">
        <f t="shared" si="55"/>
        <v>1977721.4443108896</v>
      </c>
      <c r="I95" s="572">
        <f t="shared" si="55"/>
        <v>2003932.0378933747</v>
      </c>
      <c r="J95" s="572">
        <f t="shared" si="55"/>
        <v>2032906.6707276453</v>
      </c>
    </row>
    <row r="96" spans="3:10" ht="12.75">
      <c r="C96" s="160" t="str">
        <f>'C. Masterfiles'!C59</f>
        <v>N07</v>
      </c>
      <c r="D96" s="160" t="str">
        <f>'C. Masterfiles'!D59</f>
        <v>Retail Billing System</v>
      </c>
      <c r="E96" s="160" t="str">
        <f>'C. Masterfiles'!E59</f>
        <v>RBIL</v>
      </c>
      <c r="F96" s="572">
        <f t="shared" si="55"/>
        <v>966592.1969121374</v>
      </c>
      <c r="G96" s="572">
        <f t="shared" si="55"/>
        <v>977085.7599891794</v>
      </c>
      <c r="H96" s="572">
        <f t="shared" si="55"/>
        <v>988860.7221554448</v>
      </c>
      <c r="I96" s="572">
        <f t="shared" si="55"/>
        <v>1001966.0189466873</v>
      </c>
      <c r="J96" s="572">
        <f t="shared" si="55"/>
        <v>1016453.3353638226</v>
      </c>
    </row>
    <row r="97" spans="3:10" ht="12.75">
      <c r="C97" s="160" t="str">
        <f>'C. Masterfiles'!C60</f>
        <v>N08</v>
      </c>
      <c r="D97" s="160" t="str">
        <f>'C. Masterfiles'!D60</f>
        <v>Interconnection Billing System</v>
      </c>
      <c r="E97" s="160" t="str">
        <f>'C. Masterfiles'!E60</f>
        <v>IBIL</v>
      </c>
      <c r="F97" s="572">
        <f t="shared" si="55"/>
        <v>483296.0984560687</v>
      </c>
      <c r="G97" s="572">
        <f t="shared" si="55"/>
        <v>488542.8799945897</v>
      </c>
      <c r="H97" s="572">
        <f t="shared" si="55"/>
        <v>494430.3610777224</v>
      </c>
      <c r="I97" s="572">
        <f t="shared" si="55"/>
        <v>500983.00947334367</v>
      </c>
      <c r="J97" s="572">
        <f t="shared" si="55"/>
        <v>508226.6676819113</v>
      </c>
    </row>
    <row r="98" spans="3:10" ht="12.75">
      <c r="C98" s="160" t="str">
        <f>'C. Masterfiles'!C61</f>
        <v>N09</v>
      </c>
      <c r="D98" s="160" t="str">
        <f>'C. Masterfiles'!D61</f>
        <v>Network management system</v>
      </c>
      <c r="E98" s="160" t="str">
        <f>'C. Masterfiles'!E61</f>
        <v>NMS</v>
      </c>
      <c r="F98" s="572">
        <f t="shared" si="55"/>
        <v>966592.1969121374</v>
      </c>
      <c r="G98" s="572">
        <f t="shared" si="55"/>
        <v>977085.7599891794</v>
      </c>
      <c r="H98" s="572">
        <f t="shared" si="55"/>
        <v>988860.7221554448</v>
      </c>
      <c r="I98" s="572">
        <f t="shared" si="55"/>
        <v>1001966.0189466873</v>
      </c>
      <c r="J98" s="572">
        <f t="shared" si="55"/>
        <v>1016453.3353638226</v>
      </c>
    </row>
    <row r="99" spans="3:10" ht="12.75">
      <c r="C99" s="160" t="str">
        <f>'C. Masterfiles'!C62</f>
        <v>N10</v>
      </c>
      <c r="D99" s="160" t="str">
        <f>'C. Masterfiles'!D62</f>
        <v>Operational support system</v>
      </c>
      <c r="E99" s="160" t="str">
        <f>'C. Masterfiles'!E62</f>
        <v>OSS</v>
      </c>
      <c r="F99" s="572">
        <f t="shared" si="55"/>
        <v>677055.6275769882</v>
      </c>
      <c r="G99" s="572">
        <f t="shared" si="55"/>
        <v>668034.0065578388</v>
      </c>
      <c r="H99" s="572">
        <f t="shared" si="55"/>
        <v>660705.0246076316</v>
      </c>
      <c r="I99" s="572">
        <f t="shared" si="55"/>
        <v>655046.1276738191</v>
      </c>
      <c r="J99" s="572">
        <f t="shared" si="55"/>
        <v>651038.9933015257</v>
      </c>
    </row>
    <row r="100" spans="3:10" ht="12.75">
      <c r="C100" s="160" t="str">
        <f aca="true" t="shared" si="56" ref="C100:D108">C74</f>
        <v>T01</v>
      </c>
      <c r="D100" s="160" t="str">
        <f t="shared" si="56"/>
        <v>Rau-TS</v>
      </c>
      <c r="E100" s="160" t="str">
        <f>D100</f>
        <v>Rau-TS</v>
      </c>
      <c r="F100" s="572">
        <f aca="true" t="shared" si="57" ref="F100:J108">F74</f>
        <v>6235082.779055206</v>
      </c>
      <c r="G100" s="572">
        <f t="shared" si="57"/>
        <v>5701847.656168181</v>
      </c>
      <c r="H100" s="572">
        <f t="shared" si="57"/>
        <v>5221027.89220856</v>
      </c>
      <c r="I100" s="572">
        <f t="shared" si="57"/>
        <v>4750792.858992775</v>
      </c>
      <c r="J100" s="572">
        <f t="shared" si="57"/>
        <v>4243871.17477246</v>
      </c>
    </row>
    <row r="101" spans="3:10" ht="12.75">
      <c r="C101" s="160" t="str">
        <f t="shared" si="56"/>
        <v>T02</v>
      </c>
      <c r="D101" s="160" t="str">
        <f t="shared" si="56"/>
        <v>LS-TS</v>
      </c>
      <c r="E101" s="160" t="str">
        <f aca="true" t="shared" si="58" ref="E101:E106">D101</f>
        <v>LS-TS</v>
      </c>
      <c r="F101" s="572">
        <f t="shared" si="57"/>
        <v>5683541.964897504</v>
      </c>
      <c r="G101" s="572">
        <f t="shared" si="57"/>
        <v>5196947.526403229</v>
      </c>
      <c r="H101" s="572">
        <f t="shared" si="57"/>
        <v>4758219.709862666</v>
      </c>
      <c r="I101" s="572">
        <f t="shared" si="57"/>
        <v>4333378.664339213</v>
      </c>
      <c r="J101" s="572">
        <f t="shared" si="57"/>
        <v>3870514.3452414116</v>
      </c>
    </row>
    <row r="102" spans="3:10" ht="12.75">
      <c r="C102" s="160" t="str">
        <f t="shared" si="56"/>
        <v>T03</v>
      </c>
      <c r="D102" s="160" t="str">
        <f t="shared" si="56"/>
        <v>TS-TS</v>
      </c>
      <c r="E102" s="160" t="str">
        <f t="shared" si="58"/>
        <v>TS-TS</v>
      </c>
      <c r="F102" s="572">
        <f t="shared" si="57"/>
        <v>17006029.663058624</v>
      </c>
      <c r="G102" s="572">
        <f t="shared" si="57"/>
        <v>16155728.17990569</v>
      </c>
      <c r="H102" s="572">
        <f t="shared" si="57"/>
        <v>15216762.781415448</v>
      </c>
      <c r="I102" s="572">
        <f t="shared" si="57"/>
        <v>14082064.522284035</v>
      </c>
      <c r="J102" s="572">
        <f t="shared" si="57"/>
        <v>12667627.06805462</v>
      </c>
    </row>
    <row r="103" spans="3:10" ht="12.75">
      <c r="C103" s="160" t="str">
        <f t="shared" si="56"/>
        <v>T04</v>
      </c>
      <c r="D103" s="160" t="str">
        <f t="shared" si="56"/>
        <v>TS-ISC</v>
      </c>
      <c r="E103" s="160" t="str">
        <f t="shared" si="58"/>
        <v>TS-ISC</v>
      </c>
      <c r="F103" s="572">
        <f t="shared" si="57"/>
        <v>48837828.775963224</v>
      </c>
      <c r="G103" s="572">
        <f t="shared" si="57"/>
        <v>40320278.87634583</v>
      </c>
      <c r="H103" s="572">
        <f t="shared" si="57"/>
        <v>34893611.20565956</v>
      </c>
      <c r="I103" s="572">
        <f t="shared" si="57"/>
        <v>30282669.724911682</v>
      </c>
      <c r="J103" s="572">
        <f t="shared" si="57"/>
        <v>25927199.32620525</v>
      </c>
    </row>
    <row r="104" spans="3:10" ht="12.75">
      <c r="C104" s="160" t="str">
        <f t="shared" si="56"/>
        <v>T05</v>
      </c>
      <c r="D104" s="160" t="str">
        <f t="shared" si="56"/>
        <v>ISC-ISC</v>
      </c>
      <c r="E104" s="160" t="str">
        <f t="shared" si="58"/>
        <v>ISC-ISC</v>
      </c>
      <c r="F104" s="572">
        <f t="shared" si="57"/>
        <v>959775.9245465184</v>
      </c>
      <c r="G104" s="572">
        <f t="shared" si="57"/>
        <v>740827.0417593438</v>
      </c>
      <c r="H104" s="572">
        <f t="shared" si="57"/>
        <v>784991.7307873047</v>
      </c>
      <c r="I104" s="572">
        <f t="shared" si="57"/>
        <v>694311.651541185</v>
      </c>
      <c r="J104" s="572">
        <f t="shared" si="57"/>
        <v>610737.100892709</v>
      </c>
    </row>
    <row r="105" spans="3:10" ht="12.75">
      <c r="C105" s="160" t="str">
        <f t="shared" si="56"/>
        <v>T06</v>
      </c>
      <c r="D105" s="160" t="str">
        <f t="shared" si="56"/>
        <v>ISC-IN</v>
      </c>
      <c r="E105" s="160" t="str">
        <f t="shared" si="58"/>
        <v>ISC-IN</v>
      </c>
      <c r="F105" s="572">
        <f t="shared" si="57"/>
        <v>2883.9420809691055</v>
      </c>
      <c r="G105" s="572">
        <f t="shared" si="57"/>
        <v>2739.7449769206505</v>
      </c>
      <c r="H105" s="572">
        <f t="shared" si="57"/>
        <v>2602.7577280746177</v>
      </c>
      <c r="I105" s="572">
        <f t="shared" si="57"/>
        <v>2472.619841670887</v>
      </c>
      <c r="J105" s="572">
        <f t="shared" si="57"/>
        <v>2348.9888495873424</v>
      </c>
    </row>
    <row r="106" spans="3:10" ht="12.75">
      <c r="C106" s="160" t="str">
        <f t="shared" si="56"/>
        <v>T07</v>
      </c>
      <c r="D106" s="160" t="str">
        <f t="shared" si="56"/>
        <v>TS-IN</v>
      </c>
      <c r="E106" s="160" t="str">
        <f t="shared" si="58"/>
        <v>TS-IN</v>
      </c>
      <c r="F106" s="572">
        <f t="shared" si="57"/>
        <v>6729.198188927914</v>
      </c>
      <c r="G106" s="572">
        <f t="shared" si="57"/>
        <v>6392.738279481517</v>
      </c>
      <c r="H106" s="572">
        <f t="shared" si="57"/>
        <v>6073.10136550744</v>
      </c>
      <c r="I106" s="572">
        <f t="shared" si="57"/>
        <v>5769.446297232068</v>
      </c>
      <c r="J106" s="572">
        <f t="shared" si="57"/>
        <v>4384.779185896372</v>
      </c>
    </row>
    <row r="107" spans="3:10" ht="12.75">
      <c r="C107" s="160" t="str">
        <f t="shared" si="56"/>
        <v>T08</v>
      </c>
      <c r="D107" s="160" t="str">
        <f t="shared" si="56"/>
        <v>TS-IGW</v>
      </c>
      <c r="E107" s="160" t="str">
        <f>D107</f>
        <v>TS-IGW</v>
      </c>
      <c r="F107" s="572">
        <f t="shared" si="57"/>
        <v>72165.75067465802</v>
      </c>
      <c r="G107" s="572">
        <f t="shared" si="57"/>
        <v>59463.10578549626</v>
      </c>
      <c r="H107" s="572">
        <f t="shared" si="57"/>
        <v>63800.414678085384</v>
      </c>
      <c r="I107" s="572">
        <f t="shared" si="57"/>
        <v>60610.39394418112</v>
      </c>
      <c r="J107" s="572">
        <f t="shared" si="57"/>
        <v>56380.293533493474</v>
      </c>
    </row>
    <row r="108" spans="3:10" ht="12.75">
      <c r="C108" s="160" t="str">
        <f t="shared" si="56"/>
        <v>T09</v>
      </c>
      <c r="D108" s="160" t="str">
        <f t="shared" si="56"/>
        <v>LS-LS</v>
      </c>
      <c r="E108" s="160" t="str">
        <f>D108</f>
        <v>LS-LS</v>
      </c>
      <c r="F108" s="572">
        <f t="shared" si="57"/>
        <v>30765.894119778422</v>
      </c>
      <c r="G108" s="572">
        <f t="shared" si="57"/>
        <v>29227.5994137895</v>
      </c>
      <c r="H108" s="572">
        <f t="shared" si="57"/>
        <v>27766.219443100024</v>
      </c>
      <c r="I108" s="572">
        <f t="shared" si="57"/>
        <v>25749.86303116061</v>
      </c>
      <c r="J108" s="572">
        <f t="shared" si="57"/>
        <v>23269.083544012214</v>
      </c>
    </row>
    <row r="109" spans="3:10" ht="12.75">
      <c r="C109" s="42" t="s">
        <v>765</v>
      </c>
      <c r="D109" s="155"/>
      <c r="E109" s="155"/>
      <c r="F109" s="142">
        <f>SUM(F90:F105)</f>
        <v>101988952.2458267</v>
      </c>
      <c r="G109" s="142">
        <f>SUM(G90:G105)</f>
        <v>91096918.75198925</v>
      </c>
      <c r="H109" s="142">
        <f>SUM(H90:H105)</f>
        <v>83606463.6242036</v>
      </c>
      <c r="I109" s="142">
        <f>SUM(I90:I105)</f>
        <v>76701244.41716827</v>
      </c>
      <c r="J109" s="142">
        <f>SUM(J90:J105)</f>
        <v>69730011.0498094</v>
      </c>
    </row>
    <row r="111" ht="12.75">
      <c r="I111" s="212"/>
    </row>
  </sheetData>
  <sheetProtection/>
  <mergeCells count="2">
    <mergeCell ref="C15:D15"/>
    <mergeCell ref="C33:D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E128"/>
  <sheetViews>
    <sheetView zoomScale="160" zoomScaleNormal="160" zoomScalePageLayoutView="0" workbookViewId="0" topLeftCell="A1">
      <selection activeCell="B3" sqref="B3"/>
    </sheetView>
  </sheetViews>
  <sheetFormatPr defaultColWidth="9.140625" defaultRowHeight="12.75" outlineLevelRow="1"/>
  <cols>
    <col min="1" max="1" width="5.8515625" style="1" customWidth="1"/>
    <col min="2" max="2" width="15.7109375" style="1" customWidth="1"/>
    <col min="3" max="3" width="6.8515625" style="1" customWidth="1"/>
    <col min="4" max="4" width="53.28125" style="1" customWidth="1"/>
    <col min="5" max="23" width="9.57421875" style="1" customWidth="1"/>
    <col min="24" max="16384" width="9.140625" style="1" customWidth="1"/>
  </cols>
  <sheetData>
    <row r="1" spans="1:2" s="262" customFormat="1" ht="23.25">
      <c r="A1" s="252">
        <v>8</v>
      </c>
      <c r="B1" s="252" t="s">
        <v>810</v>
      </c>
    </row>
    <row r="2" ht="12.75">
      <c r="C2" s="126"/>
    </row>
    <row r="3" spans="2:13" ht="12.75">
      <c r="B3" s="598" t="s">
        <v>247</v>
      </c>
      <c r="C3" s="257" t="s">
        <v>322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2:13" ht="12.75">
      <c r="B4" s="599" t="s">
        <v>249</v>
      </c>
      <c r="C4" s="244" t="s">
        <v>255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2:13" ht="12.75">
      <c r="B5" s="600" t="s">
        <v>251</v>
      </c>
      <c r="C5" s="323" t="s">
        <v>167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2:13" ht="12.75">
      <c r="B6" s="600"/>
      <c r="C6" s="323" t="s">
        <v>168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</row>
    <row r="7" spans="2:13" ht="12.75">
      <c r="B7" s="601" t="s">
        <v>252</v>
      </c>
      <c r="C7" s="258" t="s">
        <v>255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2:13" ht="12.75">
      <c r="B8" s="602" t="s">
        <v>254</v>
      </c>
      <c r="C8" s="259" t="s">
        <v>169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</row>
    <row r="9" spans="1:23" ht="12.75">
      <c r="A9" s="83"/>
      <c r="B9" s="85"/>
      <c r="C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2.75">
      <c r="A10" s="83"/>
      <c r="B10" s="8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</row>
    <row r="11" spans="1:23" ht="12.75">
      <c r="A11" s="83"/>
      <c r="B11" s="222">
        <f>A1+0.01</f>
        <v>8.01</v>
      </c>
      <c r="C11" s="57" t="s">
        <v>809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2.75">
      <c r="A12" s="83"/>
      <c r="B12" s="89"/>
      <c r="C12" s="57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2.75">
      <c r="A13" s="83"/>
      <c r="B13" s="85"/>
      <c r="C13" s="237"/>
      <c r="D13" s="83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ht="12.75">
      <c r="A14" s="83"/>
      <c r="B14" s="85"/>
      <c r="C14" s="375" t="s">
        <v>634</v>
      </c>
      <c r="D14" s="375" t="s">
        <v>637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552"/>
      <c r="W14" s="552"/>
    </row>
    <row r="15" spans="3:23" s="88" customFormat="1" ht="72.75" customHeight="1">
      <c r="C15" s="224"/>
      <c r="D15" s="374"/>
      <c r="E15" s="225" t="str">
        <f>'3.Network Design Parameters'!E192</f>
        <v>RAU</v>
      </c>
      <c r="F15" s="225" t="str">
        <f>'3.Network Design Parameters'!F192</f>
        <v>LS</v>
      </c>
      <c r="G15" s="225" t="str">
        <f>'3.Network Design Parameters'!G192</f>
        <v>TS</v>
      </c>
      <c r="H15" s="225" t="str">
        <f>'3.Network Design Parameters'!H192</f>
        <v>ISC</v>
      </c>
      <c r="I15" s="225" t="str">
        <f>'3.Network Design Parameters'!I192</f>
        <v>IGW</v>
      </c>
      <c r="J15" s="225" t="str">
        <f>'3.Network Design Parameters'!J192</f>
        <v>IN</v>
      </c>
      <c r="K15" s="225" t="str">
        <f>'3.Network Design Parameters'!K192</f>
        <v>RBIL</v>
      </c>
      <c r="L15" s="225" t="str">
        <f>'3.Network Design Parameters'!L192</f>
        <v>IBIL</v>
      </c>
      <c r="M15" s="225" t="str">
        <f>'3.Network Design Parameters'!M192</f>
        <v>NMS</v>
      </c>
      <c r="N15" s="225" t="str">
        <f>'3.Network Design Parameters'!N192</f>
        <v>OSS</v>
      </c>
      <c r="O15" s="225" t="str">
        <f>'3.Network Design Parameters'!E241</f>
        <v>Rau-TS</v>
      </c>
      <c r="P15" s="225" t="str">
        <f>'3.Network Design Parameters'!F241</f>
        <v>LS-TS</v>
      </c>
      <c r="Q15" s="225" t="str">
        <f>'3.Network Design Parameters'!G241</f>
        <v>TS-TS</v>
      </c>
      <c r="R15" s="225" t="str">
        <f>'3.Network Design Parameters'!H241</f>
        <v>TS-ISC</v>
      </c>
      <c r="S15" s="225" t="str">
        <f>'3.Network Design Parameters'!I241</f>
        <v>ISC-ISC</v>
      </c>
      <c r="T15" s="225" t="str">
        <f>'3.Network Design Parameters'!J241</f>
        <v>ISC-IN</v>
      </c>
      <c r="U15" s="225" t="str">
        <f>'3.Network Design Parameters'!K241</f>
        <v>TS-IN</v>
      </c>
      <c r="V15" s="225" t="str">
        <f>'3.Network Design Parameters'!L241</f>
        <v>TS-IGW</v>
      </c>
      <c r="W15" s="225" t="str">
        <f>'3.Network Design Parameters'!M241</f>
        <v>LS-LS</v>
      </c>
    </row>
    <row r="16" spans="1:23" ht="12.75">
      <c r="A16" s="83"/>
      <c r="B16" s="85"/>
      <c r="C16" s="291" t="str">
        <f>'C. Masterfiles'!C84</f>
        <v>S01</v>
      </c>
      <c r="D16" s="291" t="str">
        <f>'C. Masterfiles'!D84</f>
        <v>On-net local calls</v>
      </c>
      <c r="E16" s="373">
        <f>'3.Network Design Parameters'!E193</f>
        <v>1</v>
      </c>
      <c r="F16" s="373">
        <f>'3.Network Design Parameters'!F193</f>
        <v>1</v>
      </c>
      <c r="G16" s="373">
        <f>'3.Network Design Parameters'!G193</f>
        <v>1.5</v>
      </c>
      <c r="H16" s="373">
        <f>'3.Network Design Parameters'!H193</f>
        <v>0.2</v>
      </c>
      <c r="I16" s="373">
        <f>'3.Network Design Parameters'!I193</f>
        <v>0</v>
      </c>
      <c r="J16" s="373">
        <f>'3.Network Design Parameters'!J193</f>
        <v>0</v>
      </c>
      <c r="K16" s="373">
        <f>'3.Network Design Parameters'!K193</f>
        <v>1</v>
      </c>
      <c r="L16" s="373">
        <f>'3.Network Design Parameters'!L193</f>
        <v>0</v>
      </c>
      <c r="M16" s="373">
        <f>'3.Network Design Parameters'!M193</f>
        <v>1</v>
      </c>
      <c r="N16" s="373">
        <f>'3.Network Design Parameters'!N193</f>
        <v>1</v>
      </c>
      <c r="O16" s="373">
        <f>'3.Network Design Parameters'!E242</f>
        <v>1</v>
      </c>
      <c r="P16" s="373">
        <f>'3.Network Design Parameters'!F242</f>
        <v>1</v>
      </c>
      <c r="Q16" s="373">
        <f>'3.Network Design Parameters'!G242</f>
        <v>0.35</v>
      </c>
      <c r="R16" s="373">
        <f>'3.Network Design Parameters'!H242</f>
        <v>0.2</v>
      </c>
      <c r="S16" s="373">
        <f>'3.Network Design Parameters'!I242</f>
        <v>0</v>
      </c>
      <c r="T16" s="373">
        <f>'3.Network Design Parameters'!J242</f>
        <v>0</v>
      </c>
      <c r="U16" s="373">
        <f>'3.Network Design Parameters'!K242</f>
        <v>0</v>
      </c>
      <c r="V16" s="373">
        <f>'3.Network Design Parameters'!L242</f>
        <v>0</v>
      </c>
      <c r="W16" s="373">
        <f>'3.Network Design Parameters'!M242</f>
        <v>0.05</v>
      </c>
    </row>
    <row r="17" spans="1:23" ht="12.75" outlineLevel="1">
      <c r="A17" s="83"/>
      <c r="B17" s="85"/>
      <c r="C17" s="291" t="str">
        <f>'C. Masterfiles'!C85</f>
        <v>S02</v>
      </c>
      <c r="D17" s="291" t="str">
        <f>'C. Masterfiles'!D85</f>
        <v>On-net national calls</v>
      </c>
      <c r="E17" s="373">
        <f>'3.Network Design Parameters'!E194</f>
        <v>1</v>
      </c>
      <c r="F17" s="373">
        <f>'3.Network Design Parameters'!F194</f>
        <v>1</v>
      </c>
      <c r="G17" s="373">
        <f>'3.Network Design Parameters'!G194</f>
        <v>2</v>
      </c>
      <c r="H17" s="373">
        <f>'3.Network Design Parameters'!H194</f>
        <v>0.6</v>
      </c>
      <c r="I17" s="373">
        <f>'3.Network Design Parameters'!I194</f>
        <v>0</v>
      </c>
      <c r="J17" s="373">
        <f>'3.Network Design Parameters'!J194</f>
        <v>0</v>
      </c>
      <c r="K17" s="373">
        <f>'3.Network Design Parameters'!K194</f>
        <v>1</v>
      </c>
      <c r="L17" s="373">
        <f>'3.Network Design Parameters'!L194</f>
        <v>0</v>
      </c>
      <c r="M17" s="373">
        <f>'3.Network Design Parameters'!M194</f>
        <v>1</v>
      </c>
      <c r="N17" s="373">
        <f>'3.Network Design Parameters'!N194</f>
        <v>1</v>
      </c>
      <c r="O17" s="373">
        <f>'3.Network Design Parameters'!E243</f>
        <v>0.5</v>
      </c>
      <c r="P17" s="373">
        <f>'3.Network Design Parameters'!F243</f>
        <v>0.5</v>
      </c>
      <c r="Q17" s="373">
        <f>'3.Network Design Parameters'!G243</f>
        <v>0</v>
      </c>
      <c r="R17" s="373">
        <f>'3.Network Design Parameters'!H243</f>
        <v>2</v>
      </c>
      <c r="S17" s="373">
        <f>'3.Network Design Parameters'!I243</f>
        <v>0.2</v>
      </c>
      <c r="T17" s="373">
        <f>'3.Network Design Parameters'!J243</f>
        <v>0</v>
      </c>
      <c r="U17" s="373">
        <f>'3.Network Design Parameters'!K243</f>
        <v>0</v>
      </c>
      <c r="V17" s="373">
        <f>'3.Network Design Parameters'!L243</f>
        <v>0</v>
      </c>
      <c r="W17" s="373">
        <f>'3.Network Design Parameters'!M243</f>
        <v>0</v>
      </c>
    </row>
    <row r="18" spans="1:23" ht="12.75" outlineLevel="1">
      <c r="A18" s="83"/>
      <c r="B18" s="85"/>
      <c r="C18" s="291" t="str">
        <f>'C. Masterfiles'!C86</f>
        <v>S03</v>
      </c>
      <c r="D18" s="291" t="str">
        <f>'C. Masterfiles'!D86</f>
        <v>Originating calls (local)</v>
      </c>
      <c r="E18" s="373">
        <f>'3.Network Design Parameters'!E195</f>
        <v>0.5</v>
      </c>
      <c r="F18" s="373">
        <f>'3.Network Design Parameters'!F195</f>
        <v>0.5</v>
      </c>
      <c r="G18" s="373">
        <f>'3.Network Design Parameters'!G195</f>
        <v>1</v>
      </c>
      <c r="H18" s="373">
        <f>'3.Network Design Parameters'!H195</f>
        <v>0</v>
      </c>
      <c r="I18" s="373">
        <f>'3.Network Design Parameters'!I195</f>
        <v>1</v>
      </c>
      <c r="J18" s="373">
        <f>'3.Network Design Parameters'!J195</f>
        <v>0</v>
      </c>
      <c r="K18" s="373">
        <f>'3.Network Design Parameters'!K195</f>
        <v>1</v>
      </c>
      <c r="L18" s="373">
        <f>'3.Network Design Parameters'!L195</f>
        <v>0</v>
      </c>
      <c r="M18" s="373">
        <f>'3.Network Design Parameters'!M195</f>
        <v>1</v>
      </c>
      <c r="N18" s="373">
        <f>'3.Network Design Parameters'!N195</f>
        <v>1</v>
      </c>
      <c r="O18" s="373">
        <f>'3.Network Design Parameters'!E244</f>
        <v>0.5</v>
      </c>
      <c r="P18" s="373">
        <f>'3.Network Design Parameters'!F244</f>
        <v>0.5</v>
      </c>
      <c r="Q18" s="373">
        <f>'3.Network Design Parameters'!G244</f>
        <v>0</v>
      </c>
      <c r="R18" s="373">
        <f>'3.Network Design Parameters'!H244</f>
        <v>0</v>
      </c>
      <c r="S18" s="373">
        <f>'3.Network Design Parameters'!I244</f>
        <v>0</v>
      </c>
      <c r="T18" s="373">
        <f>'3.Network Design Parameters'!J244</f>
        <v>0</v>
      </c>
      <c r="U18" s="373">
        <f>'3.Network Design Parameters'!K244</f>
        <v>0</v>
      </c>
      <c r="V18" s="373">
        <f>'3.Network Design Parameters'!L244</f>
        <v>1</v>
      </c>
      <c r="W18" s="373">
        <f>'3.Network Design Parameters'!M244</f>
        <v>0</v>
      </c>
    </row>
    <row r="19" spans="1:23" ht="12.75" outlineLevel="1">
      <c r="A19" s="83"/>
      <c r="B19" s="85"/>
      <c r="C19" s="291" t="str">
        <f>'C. Masterfiles'!C87</f>
        <v>S04</v>
      </c>
      <c r="D19" s="291" t="str">
        <f>'C. Masterfiles'!D87</f>
        <v>Originating calls (national) </v>
      </c>
      <c r="E19" s="373">
        <f>'3.Network Design Parameters'!E196</f>
        <v>0.5</v>
      </c>
      <c r="F19" s="373">
        <f>'3.Network Design Parameters'!F196</f>
        <v>0.5</v>
      </c>
      <c r="G19" s="373">
        <f>'3.Network Design Parameters'!G196</f>
        <v>1</v>
      </c>
      <c r="H19" s="373">
        <f>'3.Network Design Parameters'!H196</f>
        <v>1</v>
      </c>
      <c r="I19" s="373">
        <f>'3.Network Design Parameters'!I196</f>
        <v>1</v>
      </c>
      <c r="J19" s="373">
        <f>'3.Network Design Parameters'!J196</f>
        <v>0</v>
      </c>
      <c r="K19" s="373">
        <f>'3.Network Design Parameters'!K196</f>
        <v>1</v>
      </c>
      <c r="L19" s="373">
        <f>'3.Network Design Parameters'!L196</f>
        <v>0</v>
      </c>
      <c r="M19" s="373">
        <f>'3.Network Design Parameters'!M196</f>
        <v>1</v>
      </c>
      <c r="N19" s="373">
        <f>'3.Network Design Parameters'!N196</f>
        <v>1</v>
      </c>
      <c r="O19" s="373">
        <f>'3.Network Design Parameters'!E245</f>
        <v>0.5</v>
      </c>
      <c r="P19" s="373">
        <f>'3.Network Design Parameters'!F245</f>
        <v>0.5</v>
      </c>
      <c r="Q19" s="373">
        <f>'3.Network Design Parameters'!G245</f>
        <v>0</v>
      </c>
      <c r="R19" s="373">
        <f>'3.Network Design Parameters'!H245</f>
        <v>1</v>
      </c>
      <c r="S19" s="373">
        <f>'3.Network Design Parameters'!I245</f>
        <v>0</v>
      </c>
      <c r="T19" s="373">
        <f>'3.Network Design Parameters'!J245</f>
        <v>0</v>
      </c>
      <c r="U19" s="373">
        <f>'3.Network Design Parameters'!K245</f>
        <v>0</v>
      </c>
      <c r="V19" s="373">
        <f>'3.Network Design Parameters'!L245</f>
        <v>0</v>
      </c>
      <c r="W19" s="373">
        <f>'3.Network Design Parameters'!M245</f>
        <v>0</v>
      </c>
    </row>
    <row r="20" spans="1:23" ht="12.75" outlineLevel="1">
      <c r="A20" s="83"/>
      <c r="B20" s="85"/>
      <c r="C20" s="291" t="str">
        <f>'C. Masterfiles'!C88</f>
        <v>S05</v>
      </c>
      <c r="D20" s="291" t="str">
        <f>'C. Masterfiles'!D88</f>
        <v>Originating calls (international)</v>
      </c>
      <c r="E20" s="373">
        <f>'3.Network Design Parameters'!E197</f>
        <v>0.5</v>
      </c>
      <c r="F20" s="373">
        <f>'3.Network Design Parameters'!F197</f>
        <v>0.5</v>
      </c>
      <c r="G20" s="373">
        <f>'3.Network Design Parameters'!G197</f>
        <v>1</v>
      </c>
      <c r="H20" s="373">
        <f>'3.Network Design Parameters'!H197</f>
        <v>1</v>
      </c>
      <c r="I20" s="373">
        <f>'3.Network Design Parameters'!I197</f>
        <v>0</v>
      </c>
      <c r="J20" s="373">
        <f>'3.Network Design Parameters'!J197</f>
        <v>0</v>
      </c>
      <c r="K20" s="373">
        <f>'3.Network Design Parameters'!K197</f>
        <v>1</v>
      </c>
      <c r="L20" s="373">
        <f>'3.Network Design Parameters'!L197</f>
        <v>0</v>
      </c>
      <c r="M20" s="373">
        <f>'3.Network Design Parameters'!M197</f>
        <v>1</v>
      </c>
      <c r="N20" s="373">
        <f>'3.Network Design Parameters'!N197</f>
        <v>1</v>
      </c>
      <c r="O20" s="373">
        <f>'3.Network Design Parameters'!E246</f>
        <v>0.5</v>
      </c>
      <c r="P20" s="373">
        <f>'3.Network Design Parameters'!F246</f>
        <v>0.5</v>
      </c>
      <c r="Q20" s="373">
        <f>'3.Network Design Parameters'!G246</f>
        <v>0</v>
      </c>
      <c r="R20" s="373">
        <f>'3.Network Design Parameters'!H246</f>
        <v>1</v>
      </c>
      <c r="S20" s="373">
        <f>'3.Network Design Parameters'!I246</f>
        <v>0</v>
      </c>
      <c r="T20" s="373">
        <f>'3.Network Design Parameters'!J246</f>
        <v>0</v>
      </c>
      <c r="U20" s="373">
        <f>'3.Network Design Parameters'!K246</f>
        <v>0</v>
      </c>
      <c r="V20" s="373">
        <f>'3.Network Design Parameters'!L246</f>
        <v>0</v>
      </c>
      <c r="W20" s="373">
        <f>'3.Network Design Parameters'!M246</f>
        <v>0</v>
      </c>
    </row>
    <row r="21" spans="1:23" ht="12.75" outlineLevel="1">
      <c r="A21" s="83"/>
      <c r="B21" s="85"/>
      <c r="C21" s="291" t="str">
        <f>'C. Masterfiles'!C89</f>
        <v>S06</v>
      </c>
      <c r="D21" s="291" t="str">
        <f>'C. Masterfiles'!D89</f>
        <v>Terminating calls (local)</v>
      </c>
      <c r="E21" s="373">
        <f>'3.Network Design Parameters'!E198</f>
        <v>0.5</v>
      </c>
      <c r="F21" s="373">
        <f>'3.Network Design Parameters'!F198</f>
        <v>0.5</v>
      </c>
      <c r="G21" s="373">
        <f>'3.Network Design Parameters'!G198</f>
        <v>1</v>
      </c>
      <c r="H21" s="373">
        <f>'3.Network Design Parameters'!H198</f>
        <v>0</v>
      </c>
      <c r="I21" s="373">
        <f>'3.Network Design Parameters'!I198</f>
        <v>1</v>
      </c>
      <c r="J21" s="373">
        <f>'3.Network Design Parameters'!J198</f>
        <v>0</v>
      </c>
      <c r="K21" s="373">
        <f>'3.Network Design Parameters'!K198</f>
        <v>0</v>
      </c>
      <c r="L21" s="373">
        <f>'3.Network Design Parameters'!L198</f>
        <v>1</v>
      </c>
      <c r="M21" s="373">
        <f>'3.Network Design Parameters'!M198</f>
        <v>1</v>
      </c>
      <c r="N21" s="373">
        <f>'3.Network Design Parameters'!N198</f>
        <v>1</v>
      </c>
      <c r="O21" s="373">
        <f>'3.Network Design Parameters'!E247</f>
        <v>0.5</v>
      </c>
      <c r="P21" s="373">
        <f>'3.Network Design Parameters'!F247</f>
        <v>0.5</v>
      </c>
      <c r="Q21" s="373">
        <f>'3.Network Design Parameters'!G247</f>
        <v>0</v>
      </c>
      <c r="R21" s="373">
        <f>'3.Network Design Parameters'!H247</f>
        <v>0</v>
      </c>
      <c r="S21" s="373">
        <f>'3.Network Design Parameters'!I247</f>
        <v>0</v>
      </c>
      <c r="T21" s="373">
        <f>'3.Network Design Parameters'!J247</f>
        <v>0</v>
      </c>
      <c r="U21" s="373">
        <f>'3.Network Design Parameters'!K247</f>
        <v>0</v>
      </c>
      <c r="V21" s="373">
        <f>'3.Network Design Parameters'!L247</f>
        <v>1</v>
      </c>
      <c r="W21" s="373">
        <f>'3.Network Design Parameters'!M247</f>
        <v>0</v>
      </c>
    </row>
    <row r="22" spans="1:23" ht="12.75" outlineLevel="1">
      <c r="A22" s="83"/>
      <c r="B22" s="85"/>
      <c r="C22" s="291" t="str">
        <f>'C. Masterfiles'!C90</f>
        <v>S07</v>
      </c>
      <c r="D22" s="291" t="str">
        <f>'C. Masterfiles'!D90</f>
        <v>Terminating calls (national) </v>
      </c>
      <c r="E22" s="373">
        <f>'3.Network Design Parameters'!E199</f>
        <v>0.5</v>
      </c>
      <c r="F22" s="373">
        <f>'3.Network Design Parameters'!F199</f>
        <v>0.5</v>
      </c>
      <c r="G22" s="373">
        <f>'3.Network Design Parameters'!G199</f>
        <v>1</v>
      </c>
      <c r="H22" s="373">
        <f>'3.Network Design Parameters'!H199</f>
        <v>1</v>
      </c>
      <c r="I22" s="373">
        <f>'3.Network Design Parameters'!I199</f>
        <v>1</v>
      </c>
      <c r="J22" s="373">
        <f>'3.Network Design Parameters'!J199</f>
        <v>0</v>
      </c>
      <c r="K22" s="373">
        <f>'3.Network Design Parameters'!K199</f>
        <v>0</v>
      </c>
      <c r="L22" s="373">
        <f>'3.Network Design Parameters'!L199</f>
        <v>1</v>
      </c>
      <c r="M22" s="373">
        <f>'3.Network Design Parameters'!M199</f>
        <v>1</v>
      </c>
      <c r="N22" s="373">
        <f>'3.Network Design Parameters'!N199</f>
        <v>1</v>
      </c>
      <c r="O22" s="373">
        <f>'3.Network Design Parameters'!E248</f>
        <v>0.5</v>
      </c>
      <c r="P22" s="373">
        <f>'3.Network Design Parameters'!F248</f>
        <v>0.5</v>
      </c>
      <c r="Q22" s="373">
        <f>'3.Network Design Parameters'!G248</f>
        <v>0</v>
      </c>
      <c r="R22" s="373">
        <f>'3.Network Design Parameters'!H248</f>
        <v>1</v>
      </c>
      <c r="S22" s="373">
        <f>'3.Network Design Parameters'!I248</f>
        <v>0</v>
      </c>
      <c r="T22" s="373">
        <f>'3.Network Design Parameters'!J248</f>
        <v>0</v>
      </c>
      <c r="U22" s="373">
        <f>'3.Network Design Parameters'!K248</f>
        <v>0</v>
      </c>
      <c r="V22" s="373">
        <f>'3.Network Design Parameters'!L248</f>
        <v>0</v>
      </c>
      <c r="W22" s="373">
        <f>'3.Network Design Parameters'!M248</f>
        <v>0</v>
      </c>
    </row>
    <row r="23" spans="1:23" ht="12.75" outlineLevel="1">
      <c r="A23" s="83"/>
      <c r="B23" s="85"/>
      <c r="C23" s="291" t="str">
        <f>'C. Masterfiles'!C91</f>
        <v>S08</v>
      </c>
      <c r="D23" s="291" t="str">
        <f>'C. Masterfiles'!D91</f>
        <v>Terminating calls (international)</v>
      </c>
      <c r="E23" s="373">
        <f>'3.Network Design Parameters'!E200</f>
        <v>0.5</v>
      </c>
      <c r="F23" s="373">
        <f>'3.Network Design Parameters'!F200</f>
        <v>0.5</v>
      </c>
      <c r="G23" s="373">
        <f>'3.Network Design Parameters'!G200</f>
        <v>1</v>
      </c>
      <c r="H23" s="373">
        <f>'3.Network Design Parameters'!H200</f>
        <v>1</v>
      </c>
      <c r="I23" s="373">
        <f>'3.Network Design Parameters'!I200</f>
        <v>0</v>
      </c>
      <c r="J23" s="373">
        <f>'3.Network Design Parameters'!J200</f>
        <v>0</v>
      </c>
      <c r="K23" s="373">
        <f>'3.Network Design Parameters'!K200</f>
        <v>0</v>
      </c>
      <c r="L23" s="373">
        <f>'3.Network Design Parameters'!L200</f>
        <v>1</v>
      </c>
      <c r="M23" s="373">
        <f>'3.Network Design Parameters'!M200</f>
        <v>1</v>
      </c>
      <c r="N23" s="373">
        <f>'3.Network Design Parameters'!N200</f>
        <v>1</v>
      </c>
      <c r="O23" s="373">
        <f>'3.Network Design Parameters'!E249</f>
        <v>0.5</v>
      </c>
      <c r="P23" s="373">
        <f>'3.Network Design Parameters'!F249</f>
        <v>0.5</v>
      </c>
      <c r="Q23" s="373">
        <f>'3.Network Design Parameters'!G249</f>
        <v>0</v>
      </c>
      <c r="R23" s="373">
        <f>'3.Network Design Parameters'!H249</f>
        <v>1</v>
      </c>
      <c r="S23" s="373">
        <f>'3.Network Design Parameters'!I249</f>
        <v>0</v>
      </c>
      <c r="T23" s="373">
        <f>'3.Network Design Parameters'!J249</f>
        <v>0</v>
      </c>
      <c r="U23" s="373">
        <f>'3.Network Design Parameters'!K249</f>
        <v>0</v>
      </c>
      <c r="V23" s="373">
        <f>'3.Network Design Parameters'!L249</f>
        <v>0</v>
      </c>
      <c r="W23" s="373">
        <f>'3.Network Design Parameters'!M249</f>
        <v>0</v>
      </c>
    </row>
    <row r="24" spans="1:23" ht="12.75" outlineLevel="1">
      <c r="A24" s="83"/>
      <c r="B24" s="85"/>
      <c r="C24" s="291" t="str">
        <f>'C. Masterfiles'!C92</f>
        <v>S09</v>
      </c>
      <c r="D24" s="291" t="str">
        <f>'C. Masterfiles'!D92</f>
        <v>Transit calls</v>
      </c>
      <c r="E24" s="373">
        <f>'3.Network Design Parameters'!E201</f>
        <v>0</v>
      </c>
      <c r="F24" s="373">
        <f>'3.Network Design Parameters'!F201</f>
        <v>0</v>
      </c>
      <c r="G24" s="373">
        <f>'3.Network Design Parameters'!G201</f>
        <v>1</v>
      </c>
      <c r="H24" s="373">
        <f>'3.Network Design Parameters'!H201</f>
        <v>2</v>
      </c>
      <c r="I24" s="373">
        <f>'3.Network Design Parameters'!I201</f>
        <v>2</v>
      </c>
      <c r="J24" s="373">
        <f>'3.Network Design Parameters'!J201</f>
        <v>0</v>
      </c>
      <c r="K24" s="373">
        <f>'3.Network Design Parameters'!K201</f>
        <v>0</v>
      </c>
      <c r="L24" s="373">
        <f>'3.Network Design Parameters'!L201</f>
        <v>1</v>
      </c>
      <c r="M24" s="373">
        <f>'3.Network Design Parameters'!M201</f>
        <v>1</v>
      </c>
      <c r="N24" s="373">
        <f>'3.Network Design Parameters'!N201</f>
        <v>1</v>
      </c>
      <c r="O24" s="373">
        <f>'3.Network Design Parameters'!E250</f>
        <v>0</v>
      </c>
      <c r="P24" s="373">
        <f>'3.Network Design Parameters'!F250</f>
        <v>0</v>
      </c>
      <c r="Q24" s="373">
        <f>'3.Network Design Parameters'!G250</f>
        <v>0</v>
      </c>
      <c r="R24" s="373">
        <f>'3.Network Design Parameters'!H250</f>
        <v>1</v>
      </c>
      <c r="S24" s="373">
        <f>'3.Network Design Parameters'!I250</f>
        <v>1</v>
      </c>
      <c r="T24" s="373">
        <f>'3.Network Design Parameters'!J250</f>
        <v>0</v>
      </c>
      <c r="U24" s="373">
        <f>'3.Network Design Parameters'!K250</f>
        <v>0</v>
      </c>
      <c r="V24" s="373">
        <f>'3.Network Design Parameters'!L250</f>
        <v>1</v>
      </c>
      <c r="W24" s="373">
        <f>'3.Network Design Parameters'!M250</f>
        <v>0</v>
      </c>
    </row>
    <row r="25" spans="1:23" ht="12.75" outlineLevel="1">
      <c r="A25" s="83"/>
      <c r="B25" s="85"/>
      <c r="C25" s="291" t="str">
        <f>'C. Masterfiles'!C93</f>
        <v>S10</v>
      </c>
      <c r="D25" s="291" t="str">
        <f>'C. Masterfiles'!D93</f>
        <v>Calls to directory enquiries, emergency &amp; helpdesk</v>
      </c>
      <c r="E25" s="373">
        <f>'3.Network Design Parameters'!E202</f>
        <v>0.5</v>
      </c>
      <c r="F25" s="373">
        <f>'3.Network Design Parameters'!F202</f>
        <v>0.5</v>
      </c>
      <c r="G25" s="373">
        <f>'3.Network Design Parameters'!G202</f>
        <v>1</v>
      </c>
      <c r="H25" s="373">
        <f>'3.Network Design Parameters'!H202</f>
        <v>1</v>
      </c>
      <c r="I25" s="373">
        <f>'3.Network Design Parameters'!I202</f>
        <v>0</v>
      </c>
      <c r="J25" s="373">
        <f>'3.Network Design Parameters'!J202</f>
        <v>1</v>
      </c>
      <c r="K25" s="373">
        <f>'3.Network Design Parameters'!K202</f>
        <v>1</v>
      </c>
      <c r="L25" s="373">
        <f>'3.Network Design Parameters'!L202</f>
        <v>0</v>
      </c>
      <c r="M25" s="373">
        <f>'3.Network Design Parameters'!M202</f>
        <v>1</v>
      </c>
      <c r="N25" s="373">
        <f>'3.Network Design Parameters'!N202</f>
        <v>1</v>
      </c>
      <c r="O25" s="373">
        <f>'3.Network Design Parameters'!E251</f>
        <v>0.5</v>
      </c>
      <c r="P25" s="373">
        <f>'3.Network Design Parameters'!F251</f>
        <v>0.5</v>
      </c>
      <c r="Q25" s="373">
        <f>'3.Network Design Parameters'!G251</f>
        <v>0</v>
      </c>
      <c r="R25" s="373">
        <f>'3.Network Design Parameters'!H251</f>
        <v>1</v>
      </c>
      <c r="S25" s="373">
        <f>'3.Network Design Parameters'!I251</f>
        <v>0</v>
      </c>
      <c r="T25" s="373">
        <f>'3.Network Design Parameters'!J251</f>
        <v>0.5</v>
      </c>
      <c r="U25" s="373">
        <f>'3.Network Design Parameters'!K251</f>
        <v>1.5</v>
      </c>
      <c r="V25" s="373">
        <f>'3.Network Design Parameters'!L251</f>
        <v>0</v>
      </c>
      <c r="W25" s="373">
        <f>'3.Network Design Parameters'!M251</f>
        <v>0</v>
      </c>
    </row>
    <row r="26" spans="1:23" ht="12.75" outlineLevel="1">
      <c r="A26" s="83"/>
      <c r="B26" s="85"/>
      <c r="C26" s="291" t="str">
        <f>'C. Masterfiles'!C94</f>
        <v>S11</v>
      </c>
      <c r="D26" s="291" t="str">
        <f>'C. Masterfiles'!D94</f>
        <v>Calls to non-geographic numbers</v>
      </c>
      <c r="E26" s="373">
        <f>'3.Network Design Parameters'!E203</f>
        <v>0.5</v>
      </c>
      <c r="F26" s="373">
        <f>'3.Network Design Parameters'!F203</f>
        <v>0.5</v>
      </c>
      <c r="G26" s="373">
        <f>'3.Network Design Parameters'!G203</f>
        <v>1</v>
      </c>
      <c r="H26" s="373">
        <f>'3.Network Design Parameters'!H203</f>
        <v>1</v>
      </c>
      <c r="I26" s="373">
        <f>'3.Network Design Parameters'!I203</f>
        <v>0</v>
      </c>
      <c r="J26" s="373">
        <f>'3.Network Design Parameters'!J203</f>
        <v>1</v>
      </c>
      <c r="K26" s="373">
        <f>'3.Network Design Parameters'!K203</f>
        <v>1</v>
      </c>
      <c r="L26" s="373">
        <f>'3.Network Design Parameters'!L203</f>
        <v>0</v>
      </c>
      <c r="M26" s="373">
        <f>'3.Network Design Parameters'!M203</f>
        <v>1</v>
      </c>
      <c r="N26" s="373">
        <f>'3.Network Design Parameters'!N203</f>
        <v>1</v>
      </c>
      <c r="O26" s="373">
        <f>'3.Network Design Parameters'!E252</f>
        <v>0.5</v>
      </c>
      <c r="P26" s="373">
        <f>'3.Network Design Parameters'!F252</f>
        <v>0.5</v>
      </c>
      <c r="Q26" s="373">
        <f>'3.Network Design Parameters'!G252</f>
        <v>0</v>
      </c>
      <c r="R26" s="373">
        <f>'3.Network Design Parameters'!H252</f>
        <v>1</v>
      </c>
      <c r="S26" s="373">
        <f>'3.Network Design Parameters'!I252</f>
        <v>0</v>
      </c>
      <c r="T26" s="373">
        <f>'3.Network Design Parameters'!J252</f>
        <v>0.5</v>
      </c>
      <c r="U26" s="373">
        <f>'3.Network Design Parameters'!K252</f>
        <v>1.5</v>
      </c>
      <c r="V26" s="373">
        <f>'3.Network Design Parameters'!L252</f>
        <v>0</v>
      </c>
      <c r="W26" s="373">
        <f>'3.Network Design Parameters'!M252</f>
        <v>0</v>
      </c>
    </row>
    <row r="27" spans="1:23" ht="12.75" outlineLevel="1">
      <c r="A27" s="83"/>
      <c r="B27" s="85"/>
      <c r="C27" s="291" t="str">
        <f>'C. Masterfiles'!C95</f>
        <v>S12</v>
      </c>
      <c r="D27" s="291" t="str">
        <f>'C. Masterfiles'!D95</f>
        <v>Internet dial-up calls</v>
      </c>
      <c r="E27" s="373">
        <f>'3.Network Design Parameters'!E204</f>
        <v>0.5</v>
      </c>
      <c r="F27" s="373">
        <f>'3.Network Design Parameters'!F204</f>
        <v>0.5</v>
      </c>
      <c r="G27" s="373">
        <f>'3.Network Design Parameters'!G204</f>
        <v>1</v>
      </c>
      <c r="H27" s="373">
        <f>'3.Network Design Parameters'!H204</f>
        <v>1</v>
      </c>
      <c r="I27" s="373">
        <f>'3.Network Design Parameters'!I204</f>
        <v>0</v>
      </c>
      <c r="J27" s="373">
        <f>'3.Network Design Parameters'!J204</f>
        <v>0</v>
      </c>
      <c r="K27" s="373">
        <f>'3.Network Design Parameters'!K204</f>
        <v>1</v>
      </c>
      <c r="L27" s="373">
        <f>'3.Network Design Parameters'!L204</f>
        <v>0</v>
      </c>
      <c r="M27" s="373">
        <f>'3.Network Design Parameters'!M204</f>
        <v>1</v>
      </c>
      <c r="N27" s="373">
        <f>'3.Network Design Parameters'!N204</f>
        <v>1</v>
      </c>
      <c r="O27" s="373">
        <f>'3.Network Design Parameters'!E253</f>
        <v>0.5</v>
      </c>
      <c r="P27" s="373">
        <f>'3.Network Design Parameters'!F253</f>
        <v>0.5</v>
      </c>
      <c r="Q27" s="373">
        <f>'3.Network Design Parameters'!G253</f>
        <v>0</v>
      </c>
      <c r="R27" s="373">
        <f>'3.Network Design Parameters'!H253</f>
        <v>1</v>
      </c>
      <c r="S27" s="373">
        <f>'3.Network Design Parameters'!I253</f>
        <v>0</v>
      </c>
      <c r="T27" s="373">
        <f>'3.Network Design Parameters'!J253</f>
        <v>0</v>
      </c>
      <c r="U27" s="373">
        <f>'3.Network Design Parameters'!K253</f>
        <v>0</v>
      </c>
      <c r="V27" s="373">
        <f>'3.Network Design Parameters'!L253</f>
        <v>0</v>
      </c>
      <c r="W27" s="373">
        <f>'3.Network Design Parameters'!M253</f>
        <v>0</v>
      </c>
    </row>
    <row r="28" spans="1:23" ht="12.75" outlineLevel="1">
      <c r="A28" s="83"/>
      <c r="B28" s="85"/>
      <c r="C28" s="291" t="str">
        <f>'C. Masterfiles'!C96</f>
        <v>End</v>
      </c>
      <c r="D28" s="291" t="str">
        <f>'C. Masterfiles'!D96</f>
        <v>End of list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</row>
    <row r="29" spans="1:23" ht="12.75">
      <c r="A29" s="83"/>
      <c r="B29" s="85"/>
      <c r="C29" s="83"/>
      <c r="D29" s="102"/>
      <c r="E29" s="223">
        <f aca="true" t="shared" si="0" ref="E29:T29">IF(SUM(E16:E28)=0,"No Entry","")</f>
      </c>
      <c r="F29" s="223">
        <f t="shared" si="0"/>
      </c>
      <c r="G29" s="223">
        <f t="shared" si="0"/>
      </c>
      <c r="H29" s="223">
        <f t="shared" si="0"/>
      </c>
      <c r="I29" s="223">
        <f t="shared" si="0"/>
      </c>
      <c r="J29" s="223">
        <f t="shared" si="0"/>
      </c>
      <c r="K29" s="223">
        <f t="shared" si="0"/>
      </c>
      <c r="L29" s="223">
        <f t="shared" si="0"/>
      </c>
      <c r="M29" s="223">
        <f t="shared" si="0"/>
      </c>
      <c r="N29" s="223">
        <f t="shared" si="0"/>
      </c>
      <c r="O29" s="223">
        <f t="shared" si="0"/>
      </c>
      <c r="P29" s="223">
        <f t="shared" si="0"/>
      </c>
      <c r="Q29" s="223">
        <f t="shared" si="0"/>
      </c>
      <c r="R29" s="223">
        <f t="shared" si="0"/>
      </c>
      <c r="S29" s="223">
        <f t="shared" si="0"/>
      </c>
      <c r="T29" s="223">
        <f t="shared" si="0"/>
      </c>
      <c r="U29" s="223"/>
      <c r="V29" s="223"/>
      <c r="W29" s="223"/>
    </row>
    <row r="30" spans="1:23" ht="12.75">
      <c r="A30" s="83"/>
      <c r="B30" s="85"/>
      <c r="C30" s="83"/>
      <c r="D30" s="10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</row>
    <row r="31" spans="1:25" ht="12.75">
      <c r="A31" s="83"/>
      <c r="B31" s="85"/>
      <c r="C31" s="57" t="s">
        <v>574</v>
      </c>
      <c r="D31" s="102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Y31" s="88">
        <f>C32</f>
        <v>2008</v>
      </c>
    </row>
    <row r="32" spans="1:31" ht="143.25" customHeight="1">
      <c r="A32" s="83"/>
      <c r="B32" s="85"/>
      <c r="C32" s="338">
        <f>'C. Masterfiles'!D$101</f>
        <v>2008</v>
      </c>
      <c r="D32" s="90" t="s">
        <v>686</v>
      </c>
      <c r="E32" s="376" t="str">
        <f aca="true" t="shared" si="1" ref="E32:U32">E15</f>
        <v>RAU</v>
      </c>
      <c r="F32" s="376" t="str">
        <f t="shared" si="1"/>
        <v>LS</v>
      </c>
      <c r="G32" s="376" t="str">
        <f t="shared" si="1"/>
        <v>TS</v>
      </c>
      <c r="H32" s="376" t="str">
        <f t="shared" si="1"/>
        <v>ISC</v>
      </c>
      <c r="I32" s="376" t="str">
        <f t="shared" si="1"/>
        <v>IGW</v>
      </c>
      <c r="J32" s="376" t="str">
        <f t="shared" si="1"/>
        <v>IN</v>
      </c>
      <c r="K32" s="376" t="str">
        <f t="shared" si="1"/>
        <v>RBIL</v>
      </c>
      <c r="L32" s="376" t="str">
        <f t="shared" si="1"/>
        <v>IBIL</v>
      </c>
      <c r="M32" s="376" t="str">
        <f t="shared" si="1"/>
        <v>NMS</v>
      </c>
      <c r="N32" s="376" t="str">
        <f t="shared" si="1"/>
        <v>OSS</v>
      </c>
      <c r="O32" s="376" t="str">
        <f t="shared" si="1"/>
        <v>Rau-TS</v>
      </c>
      <c r="P32" s="376" t="str">
        <f t="shared" si="1"/>
        <v>LS-TS</v>
      </c>
      <c r="Q32" s="376" t="str">
        <f t="shared" si="1"/>
        <v>TS-TS</v>
      </c>
      <c r="R32" s="376" t="str">
        <f t="shared" si="1"/>
        <v>TS-ISC</v>
      </c>
      <c r="S32" s="376" t="str">
        <f t="shared" si="1"/>
        <v>ISC-ISC</v>
      </c>
      <c r="T32" s="376" t="str">
        <f t="shared" si="1"/>
        <v>ISC-IN</v>
      </c>
      <c r="U32" s="376" t="str">
        <f t="shared" si="1"/>
        <v>TS-IN</v>
      </c>
      <c r="V32" s="376" t="str">
        <f>V15</f>
        <v>TS-IGW</v>
      </c>
      <c r="W32" s="376" t="str">
        <f>W15</f>
        <v>LS-LS</v>
      </c>
      <c r="Y32" s="227" t="s">
        <v>573</v>
      </c>
      <c r="AA32" s="83"/>
      <c r="AB32" s="83"/>
      <c r="AC32" s="83"/>
      <c r="AD32" s="83"/>
      <c r="AE32" s="83"/>
    </row>
    <row r="33" spans="1:25" ht="12.75" outlineLevel="1">
      <c r="A33" s="83"/>
      <c r="B33" s="85"/>
      <c r="C33" s="291" t="str">
        <f>'C. Masterfiles'!C84</f>
        <v>S01</v>
      </c>
      <c r="D33" s="291" t="str">
        <f>'C. Masterfiles'!D84</f>
        <v>On-net local calls</v>
      </c>
      <c r="E33" s="373">
        <f aca="true" t="shared" si="2" ref="E33:E44">E16*$Y33/(IF(SUMPRODUCT(E$16:E$27,$Y$33:$Y$44)=0,1,SUMPRODUCT(E$16:E$27,$Y$33:$Y$44)))</f>
        <v>0.7163267746602606</v>
      </c>
      <c r="F33" s="373">
        <f aca="true" t="shared" si="3" ref="F33:U33">F16*$Y33/(IF(SUMPRODUCT(F$16:F$28,$Y$33:$Y$45)=0,1,SUMPRODUCT(F$16:F$28,$Y$33:$Y$45)))</f>
        <v>0.7163267746602606</v>
      </c>
      <c r="G33" s="373">
        <f t="shared" si="3"/>
        <v>0.6365669726534499</v>
      </c>
      <c r="H33" s="373">
        <f t="shared" si="3"/>
        <v>0.23456455761714076</v>
      </c>
      <c r="I33" s="373">
        <f t="shared" si="3"/>
        <v>0</v>
      </c>
      <c r="J33" s="373">
        <f t="shared" si="3"/>
        <v>0</v>
      </c>
      <c r="K33" s="373">
        <f t="shared" si="3"/>
        <v>0.7029654837731266</v>
      </c>
      <c r="L33" s="373">
        <f t="shared" si="3"/>
        <v>0</v>
      </c>
      <c r="M33" s="373">
        <f t="shared" si="3"/>
        <v>0.5878853707076055</v>
      </c>
      <c r="N33" s="373">
        <f t="shared" si="3"/>
        <v>0.5878853707076055</v>
      </c>
      <c r="O33" s="373">
        <f t="shared" si="3"/>
        <v>0.7585400809953677</v>
      </c>
      <c r="P33" s="373">
        <f t="shared" si="3"/>
        <v>0.7585400809953677</v>
      </c>
      <c r="Q33" s="373">
        <f t="shared" si="3"/>
        <v>1</v>
      </c>
      <c r="R33" s="373">
        <f t="shared" si="3"/>
        <v>0.19884571845692503</v>
      </c>
      <c r="S33" s="373">
        <f t="shared" si="3"/>
        <v>0</v>
      </c>
      <c r="T33" s="373">
        <f t="shared" si="3"/>
        <v>0</v>
      </c>
      <c r="U33" s="373">
        <f t="shared" si="3"/>
        <v>0</v>
      </c>
      <c r="V33" s="373">
        <f aca="true" t="shared" si="4" ref="V33:W44">V16*$Y33/(IF(SUMPRODUCT(V$16:V$28,$Y$33:$Y$45)=0,1,SUMPRODUCT(V$16:V$28,$Y$33:$Y$45)))</f>
        <v>0</v>
      </c>
      <c r="W33" s="373">
        <f t="shared" si="4"/>
        <v>1</v>
      </c>
      <c r="Y33" s="1">
        <f>'6.Network Design'!G37</f>
        <v>18714.383111111114</v>
      </c>
    </row>
    <row r="34" spans="1:25" ht="12.75" outlineLevel="1">
      <c r="A34" s="83"/>
      <c r="B34" s="85"/>
      <c r="C34" s="291" t="str">
        <f>'C. Masterfiles'!C85</f>
        <v>S02</v>
      </c>
      <c r="D34" s="291" t="str">
        <f>'C. Masterfiles'!D85</f>
        <v>On-net national calls</v>
      </c>
      <c r="E34" s="373">
        <f t="shared" si="2"/>
        <v>0.11130145233647853</v>
      </c>
      <c r="F34" s="373">
        <f aca="true" t="shared" si="5" ref="F34:U34">F17*$Y34/(IF(SUMPRODUCT(F$16:F$28,$Y$33:$Y$45)=0,1,SUMPRODUCT(F$16:F$28,$Y$33:$Y$45)))</f>
        <v>0.11130145233647853</v>
      </c>
      <c r="G34" s="373">
        <f t="shared" si="5"/>
        <v>0.13187804052951022</v>
      </c>
      <c r="H34" s="373">
        <f t="shared" si="5"/>
        <v>0.10933854570143729</v>
      </c>
      <c r="I34" s="373">
        <f t="shared" si="5"/>
        <v>0</v>
      </c>
      <c r="J34" s="373">
        <f t="shared" si="5"/>
        <v>0</v>
      </c>
      <c r="K34" s="373">
        <f t="shared" si="5"/>
        <v>0.10922540110757746</v>
      </c>
      <c r="L34" s="373">
        <f t="shared" si="5"/>
        <v>0</v>
      </c>
      <c r="M34" s="373">
        <f t="shared" si="5"/>
        <v>0.09134447836067398</v>
      </c>
      <c r="N34" s="373">
        <f t="shared" si="5"/>
        <v>0.09134447836067398</v>
      </c>
      <c r="O34" s="373">
        <f t="shared" si="5"/>
        <v>0.058930236629962864</v>
      </c>
      <c r="P34" s="373">
        <f t="shared" si="5"/>
        <v>0.058930236629962864</v>
      </c>
      <c r="Q34" s="373">
        <f t="shared" si="5"/>
        <v>0</v>
      </c>
      <c r="R34" s="373">
        <f t="shared" si="5"/>
        <v>0.3089625857646176</v>
      </c>
      <c r="S34" s="373">
        <f t="shared" si="5"/>
        <v>0.3255910177170017</v>
      </c>
      <c r="T34" s="373">
        <f t="shared" si="5"/>
        <v>0</v>
      </c>
      <c r="U34" s="373">
        <f t="shared" si="5"/>
        <v>0</v>
      </c>
      <c r="V34" s="373">
        <f t="shared" si="4"/>
        <v>0</v>
      </c>
      <c r="W34" s="373">
        <f t="shared" si="4"/>
        <v>0</v>
      </c>
      <c r="Y34" s="1">
        <f>'6.Network Design'!G38</f>
        <v>2907.8042222222225</v>
      </c>
    </row>
    <row r="35" spans="1:25" ht="12.75" outlineLevel="1">
      <c r="A35" s="83"/>
      <c r="B35" s="85"/>
      <c r="C35" s="291" t="str">
        <f>'C. Masterfiles'!C86</f>
        <v>S03</v>
      </c>
      <c r="D35" s="291" t="str">
        <f>'C. Masterfiles'!D86</f>
        <v>Originating calls (local)</v>
      </c>
      <c r="E35" s="373">
        <f t="shared" si="2"/>
        <v>0.009528091261288363</v>
      </c>
      <c r="F35" s="373">
        <f aca="true" t="shared" si="6" ref="F35:U35">F18*$Y35/(IF(SUMPRODUCT(F$16:F$28,$Y$33:$Y$45)=0,1,SUMPRODUCT(F$16:F$28,$Y$33:$Y$45)))</f>
        <v>0.009528091261288363</v>
      </c>
      <c r="G35" s="373">
        <f t="shared" si="6"/>
        <v>0.011289574207229206</v>
      </c>
      <c r="H35" s="373">
        <f t="shared" si="6"/>
        <v>0</v>
      </c>
      <c r="I35" s="373">
        <f t="shared" si="6"/>
        <v>0.1028483446973618</v>
      </c>
      <c r="J35" s="373">
        <f t="shared" si="6"/>
        <v>0</v>
      </c>
      <c r="K35" s="373">
        <f t="shared" si="6"/>
        <v>0.01870073692583322</v>
      </c>
      <c r="L35" s="373">
        <f t="shared" si="6"/>
        <v>0</v>
      </c>
      <c r="M35" s="373">
        <f t="shared" si="6"/>
        <v>0.015639302233076656</v>
      </c>
      <c r="N35" s="373">
        <f t="shared" si="6"/>
        <v>0.015639302233076656</v>
      </c>
      <c r="O35" s="373">
        <f t="shared" si="6"/>
        <v>0.010089583933947967</v>
      </c>
      <c r="P35" s="373">
        <f t="shared" si="6"/>
        <v>0.010089583933947967</v>
      </c>
      <c r="Q35" s="373">
        <f t="shared" si="6"/>
        <v>0</v>
      </c>
      <c r="R35" s="373">
        <f t="shared" si="6"/>
        <v>0</v>
      </c>
      <c r="S35" s="373">
        <f t="shared" si="6"/>
        <v>0</v>
      </c>
      <c r="T35" s="373">
        <f t="shared" si="6"/>
        <v>0</v>
      </c>
      <c r="U35" s="373">
        <f t="shared" si="6"/>
        <v>0</v>
      </c>
      <c r="V35" s="373">
        <f t="shared" si="4"/>
        <v>0.23142168264775934</v>
      </c>
      <c r="W35" s="373">
        <f t="shared" si="4"/>
        <v>0</v>
      </c>
      <c r="Y35" s="1">
        <f>'6.Network Design'!G39</f>
        <v>497.8519761904762</v>
      </c>
    </row>
    <row r="36" spans="1:25" ht="12.75" outlineLevel="1">
      <c r="A36" s="83"/>
      <c r="B36" s="85"/>
      <c r="C36" s="291" t="str">
        <f>'C. Masterfiles'!C87</f>
        <v>S04</v>
      </c>
      <c r="D36" s="291" t="str">
        <f>'C. Masterfiles'!D87</f>
        <v>Originating calls (national) </v>
      </c>
      <c r="E36" s="373">
        <f t="shared" si="2"/>
        <v>0.01618244035404521</v>
      </c>
      <c r="F36" s="373">
        <f aca="true" t="shared" si="7" ref="F36:U36">F19*$Y36/(IF(SUMPRODUCT(F$16:F$28,$Y$33:$Y$45)=0,1,SUMPRODUCT(F$16:F$28,$Y$33:$Y$45)))</f>
        <v>0.01618244035404521</v>
      </c>
      <c r="G36" s="373">
        <f t="shared" si="7"/>
        <v>0.019174130077166222</v>
      </c>
      <c r="H36" s="373">
        <f t="shared" si="7"/>
        <v>0.052990158920314896</v>
      </c>
      <c r="I36" s="373">
        <f t="shared" si="7"/>
        <v>0.1746768747208968</v>
      </c>
      <c r="J36" s="373">
        <f t="shared" si="7"/>
        <v>0</v>
      </c>
      <c r="K36" s="373">
        <f t="shared" si="7"/>
        <v>0.03176119451211752</v>
      </c>
      <c r="L36" s="373">
        <f t="shared" si="7"/>
        <v>0</v>
      </c>
      <c r="M36" s="373">
        <f t="shared" si="7"/>
        <v>0.026561676271290028</v>
      </c>
      <c r="N36" s="373">
        <f t="shared" si="7"/>
        <v>0.026561676271290028</v>
      </c>
      <c r="O36" s="373">
        <f t="shared" si="7"/>
        <v>0.01713607539335935</v>
      </c>
      <c r="P36" s="373">
        <f t="shared" si="7"/>
        <v>0.01713607539335935</v>
      </c>
      <c r="Q36" s="373">
        <f t="shared" si="7"/>
        <v>0</v>
      </c>
      <c r="R36" s="373">
        <f t="shared" si="7"/>
        <v>0.04492096473865015</v>
      </c>
      <c r="S36" s="373">
        <f t="shared" si="7"/>
        <v>0</v>
      </c>
      <c r="T36" s="373">
        <f t="shared" si="7"/>
        <v>0</v>
      </c>
      <c r="U36" s="373">
        <f t="shared" si="7"/>
        <v>0</v>
      </c>
      <c r="V36" s="373">
        <f t="shared" si="4"/>
        <v>0</v>
      </c>
      <c r="W36" s="373">
        <f t="shared" si="4"/>
        <v>0</v>
      </c>
      <c r="Y36" s="1">
        <f>'6.Network Design'!G40</f>
        <v>845.5481469387755</v>
      </c>
    </row>
    <row r="37" spans="1:25" ht="12.75" outlineLevel="1">
      <c r="A37" s="83"/>
      <c r="B37" s="85"/>
      <c r="C37" s="291" t="str">
        <f>'C. Masterfiles'!C88</f>
        <v>S05</v>
      </c>
      <c r="D37" s="291" t="str">
        <f>'C. Masterfiles'!D88</f>
        <v>Originating calls (international)</v>
      </c>
      <c r="E37" s="373">
        <f t="shared" si="2"/>
        <v>0.017203577985641056</v>
      </c>
      <c r="F37" s="373">
        <f aca="true" t="shared" si="8" ref="F37:U37">F20*$Y37/(IF(SUMPRODUCT(F$16:F$28,$Y$33:$Y$45)=0,1,SUMPRODUCT(F$16:F$28,$Y$33:$Y$45)))</f>
        <v>0.017203577985641056</v>
      </c>
      <c r="G37" s="373">
        <f t="shared" si="8"/>
        <v>0.020384048071395926</v>
      </c>
      <c r="H37" s="373">
        <f t="shared" si="8"/>
        <v>0.05633392192477742</v>
      </c>
      <c r="I37" s="373">
        <f t="shared" si="8"/>
        <v>0</v>
      </c>
      <c r="J37" s="373">
        <f t="shared" si="8"/>
        <v>0</v>
      </c>
      <c r="K37" s="373">
        <f t="shared" si="8"/>
        <v>0.033765376219646655</v>
      </c>
      <c r="L37" s="373">
        <f t="shared" si="8"/>
        <v>0</v>
      </c>
      <c r="M37" s="373">
        <f t="shared" si="8"/>
        <v>0.028237760137843602</v>
      </c>
      <c r="N37" s="373">
        <f t="shared" si="8"/>
        <v>0.028237760137843602</v>
      </c>
      <c r="O37" s="373">
        <f t="shared" si="8"/>
        <v>0.0182173889072169</v>
      </c>
      <c r="P37" s="373">
        <f t="shared" si="8"/>
        <v>0.0182173889072169</v>
      </c>
      <c r="Q37" s="373">
        <f t="shared" si="8"/>
        <v>0</v>
      </c>
      <c r="R37" s="373">
        <f t="shared" si="8"/>
        <v>0.047755548802527706</v>
      </c>
      <c r="S37" s="373">
        <f t="shared" si="8"/>
        <v>0</v>
      </c>
      <c r="T37" s="373">
        <f t="shared" si="8"/>
        <v>0</v>
      </c>
      <c r="U37" s="373">
        <f t="shared" si="8"/>
        <v>0</v>
      </c>
      <c r="V37" s="373">
        <f t="shared" si="4"/>
        <v>0</v>
      </c>
      <c r="W37" s="373">
        <f t="shared" si="4"/>
        <v>0</v>
      </c>
      <c r="Y37" s="1">
        <f>'6.Network Design'!G41</f>
        <v>898.9035750000002</v>
      </c>
    </row>
    <row r="38" spans="1:25" ht="12.75" outlineLevel="1">
      <c r="A38" s="83"/>
      <c r="B38" s="85"/>
      <c r="C38" s="291" t="str">
        <f>'C. Masterfiles'!C89</f>
        <v>S06</v>
      </c>
      <c r="D38" s="291" t="str">
        <f>'C. Masterfiles'!D89</f>
        <v>Terminating calls (local)</v>
      </c>
      <c r="E38" s="373">
        <f t="shared" si="2"/>
        <v>0.008589608447237709</v>
      </c>
      <c r="F38" s="373">
        <f aca="true" t="shared" si="9" ref="F38:U38">F21*$Y38/(IF(SUMPRODUCT(F$16:F$28,$Y$33:$Y$45)=0,1,SUMPRODUCT(F$16:F$28,$Y$33:$Y$45)))</f>
        <v>0.008589608447237709</v>
      </c>
      <c r="G38" s="373">
        <f t="shared" si="9"/>
        <v>0.010177591641058706</v>
      </c>
      <c r="H38" s="373">
        <f t="shared" si="9"/>
        <v>0</v>
      </c>
      <c r="I38" s="373">
        <f t="shared" si="9"/>
        <v>0.09271815163926336</v>
      </c>
      <c r="J38" s="373">
        <f t="shared" si="9"/>
        <v>0</v>
      </c>
      <c r="K38" s="373">
        <f t="shared" si="9"/>
        <v>0</v>
      </c>
      <c r="L38" s="373">
        <f t="shared" si="9"/>
        <v>0.08612288168040731</v>
      </c>
      <c r="M38" s="373">
        <f t="shared" si="9"/>
        <v>0.014098887057886379</v>
      </c>
      <c r="N38" s="373">
        <f t="shared" si="9"/>
        <v>0.014098887057886379</v>
      </c>
      <c r="O38" s="373">
        <f t="shared" si="9"/>
        <v>0.009095796105592155</v>
      </c>
      <c r="P38" s="373">
        <f t="shared" si="9"/>
        <v>0.009095796105592155</v>
      </c>
      <c r="Q38" s="373">
        <f t="shared" si="9"/>
        <v>0</v>
      </c>
      <c r="R38" s="373">
        <f t="shared" si="9"/>
        <v>0</v>
      </c>
      <c r="S38" s="373">
        <f t="shared" si="9"/>
        <v>0</v>
      </c>
      <c r="T38" s="373">
        <f t="shared" si="9"/>
        <v>0</v>
      </c>
      <c r="U38" s="373">
        <f t="shared" si="9"/>
        <v>0</v>
      </c>
      <c r="V38" s="373">
        <f t="shared" si="4"/>
        <v>0.20862747696608125</v>
      </c>
      <c r="W38" s="373">
        <f t="shared" si="4"/>
        <v>0</v>
      </c>
      <c r="Y38" s="1">
        <f>'6.Network Design'!G42</f>
        <v>448.81534222222217</v>
      </c>
    </row>
    <row r="39" spans="1:25" ht="12.75" outlineLevel="1">
      <c r="A39" s="83"/>
      <c r="B39" s="85"/>
      <c r="C39" s="291" t="str">
        <f>'C. Masterfiles'!C90</f>
        <v>S07</v>
      </c>
      <c r="D39" s="291" t="str">
        <f>'C. Masterfiles'!D90</f>
        <v>Terminating calls (national) </v>
      </c>
      <c r="E39" s="373">
        <f t="shared" si="2"/>
        <v>0.012233423845858226</v>
      </c>
      <c r="F39" s="373">
        <f aca="true" t="shared" si="10" ref="F39:U39">F22*$Y39/(IF(SUMPRODUCT(F$16:F$28,$Y$33:$Y$45)=0,1,SUMPRODUCT(F$16:F$28,$Y$33:$Y$45)))</f>
        <v>0.012233423845858226</v>
      </c>
      <c r="G39" s="373">
        <f t="shared" si="10"/>
        <v>0.014495048643943072</v>
      </c>
      <c r="H39" s="373">
        <f t="shared" si="10"/>
        <v>0.04005891939342452</v>
      </c>
      <c r="I39" s="373">
        <f t="shared" si="10"/>
        <v>0.13205030871604218</v>
      </c>
      <c r="J39" s="373">
        <f t="shared" si="10"/>
        <v>0</v>
      </c>
      <c r="K39" s="373">
        <f t="shared" si="10"/>
        <v>0</v>
      </c>
      <c r="L39" s="373">
        <f t="shared" si="10"/>
        <v>0.12265724577491495</v>
      </c>
      <c r="M39" s="373">
        <f t="shared" si="10"/>
        <v>0.020079804823871266</v>
      </c>
      <c r="N39" s="373">
        <f t="shared" si="10"/>
        <v>0.020079804823871266</v>
      </c>
      <c r="O39" s="373">
        <f t="shared" si="10"/>
        <v>0.012954342407889279</v>
      </c>
      <c r="P39" s="373">
        <f t="shared" si="10"/>
        <v>0.012954342407889279</v>
      </c>
      <c r="Q39" s="373">
        <f t="shared" si="10"/>
        <v>0</v>
      </c>
      <c r="R39" s="373">
        <f t="shared" si="10"/>
        <v>0.033958858440988386</v>
      </c>
      <c r="S39" s="373">
        <f t="shared" si="10"/>
        <v>0</v>
      </c>
      <c r="T39" s="373">
        <f t="shared" si="10"/>
        <v>0</v>
      </c>
      <c r="U39" s="373">
        <f t="shared" si="10"/>
        <v>0</v>
      </c>
      <c r="V39" s="373">
        <f t="shared" si="4"/>
        <v>0</v>
      </c>
      <c r="W39" s="373">
        <f t="shared" si="4"/>
        <v>0</v>
      </c>
      <c r="Y39" s="1">
        <f>'6.Network Design'!G43</f>
        <v>639.208218122449</v>
      </c>
    </row>
    <row r="40" spans="1:31" ht="12.75" outlineLevel="1">
      <c r="A40" s="83"/>
      <c r="B40" s="85"/>
      <c r="C40" s="291" t="str">
        <f>'C. Masterfiles'!C91</f>
        <v>S08</v>
      </c>
      <c r="D40" s="291" t="str">
        <f>'C. Masterfiles'!D91</f>
        <v>Terminating calls (international)</v>
      </c>
      <c r="E40" s="449">
        <f t="shared" si="2"/>
        <v>0.05585933576021925</v>
      </c>
      <c r="F40" s="449">
        <f aca="true" t="shared" si="11" ref="F40:U40">F23*$Y40/(IF(SUMPRODUCT(F$16:F$28,$Y$33:$Y$45)=0,1,SUMPRODUCT(F$16:F$28,$Y$33:$Y$45)))</f>
        <v>0.05585933576021925</v>
      </c>
      <c r="G40" s="449">
        <f t="shared" si="11"/>
        <v>0.06618619605310701</v>
      </c>
      <c r="H40" s="449">
        <f t="shared" si="11"/>
        <v>0.1829140113825491</v>
      </c>
      <c r="I40" s="449">
        <f t="shared" si="11"/>
        <v>0</v>
      </c>
      <c r="J40" s="449">
        <f t="shared" si="11"/>
        <v>0</v>
      </c>
      <c r="K40" s="408">
        <f t="shared" si="11"/>
        <v>0</v>
      </c>
      <c r="L40" s="408">
        <f t="shared" si="11"/>
        <v>0.5600682492076317</v>
      </c>
      <c r="M40" s="408">
        <f t="shared" si="11"/>
        <v>0.09168688780745887</v>
      </c>
      <c r="N40" s="408">
        <f t="shared" si="11"/>
        <v>0.09168688780745887</v>
      </c>
      <c r="O40" s="408">
        <f t="shared" si="11"/>
        <v>0.059151139634561506</v>
      </c>
      <c r="P40" s="408">
        <f t="shared" si="11"/>
        <v>0.059151139634561506</v>
      </c>
      <c r="Q40" s="408">
        <f t="shared" si="11"/>
        <v>0</v>
      </c>
      <c r="R40" s="408">
        <f t="shared" si="11"/>
        <v>0.15506037390596508</v>
      </c>
      <c r="S40" s="408">
        <f t="shared" si="11"/>
        <v>0</v>
      </c>
      <c r="T40" s="408">
        <f t="shared" si="11"/>
        <v>0</v>
      </c>
      <c r="U40" s="408">
        <f t="shared" si="11"/>
        <v>0</v>
      </c>
      <c r="V40" s="408">
        <f t="shared" si="4"/>
        <v>0</v>
      </c>
      <c r="W40" s="408">
        <f t="shared" si="4"/>
        <v>0</v>
      </c>
      <c r="Y40" s="344">
        <f>'6.Network Design'!G44</f>
        <v>2918.704275</v>
      </c>
      <c r="Z40" s="226"/>
      <c r="AA40" s="104"/>
      <c r="AB40" s="104"/>
      <c r="AC40" s="104"/>
      <c r="AD40" s="104"/>
      <c r="AE40" s="104"/>
    </row>
    <row r="41" spans="1:31" ht="12.75" outlineLevel="1">
      <c r="A41" s="83"/>
      <c r="B41" s="85"/>
      <c r="C41" s="291" t="str">
        <f>'C. Masterfiles'!C92</f>
        <v>S09</v>
      </c>
      <c r="D41" s="291" t="str">
        <f>'C. Masterfiles'!D92</f>
        <v>Transit calls</v>
      </c>
      <c r="E41" s="449">
        <f t="shared" si="2"/>
        <v>0</v>
      </c>
      <c r="F41" s="449">
        <f aca="true" t="shared" si="12" ref="F41:U41">F24*$Y41/(IF(SUMPRODUCT(F$16:F$28,$Y$33:$Y$45)=0,1,SUMPRODUCT(F$16:F$28,$Y$33:$Y$45)))</f>
        <v>0</v>
      </c>
      <c r="G41" s="449">
        <f t="shared" si="12"/>
        <v>0.027316397031655195</v>
      </c>
      <c r="H41" s="449">
        <f t="shared" si="12"/>
        <v>0.150984708460031</v>
      </c>
      <c r="I41" s="449">
        <f t="shared" si="12"/>
        <v>0.4977063202264357</v>
      </c>
      <c r="J41" s="449">
        <f t="shared" si="12"/>
        <v>0</v>
      </c>
      <c r="K41" s="408">
        <f t="shared" si="12"/>
        <v>0</v>
      </c>
      <c r="L41" s="408">
        <f t="shared" si="12"/>
        <v>0.231151623337046</v>
      </c>
      <c r="M41" s="408">
        <f t="shared" si="12"/>
        <v>0.03784105416688016</v>
      </c>
      <c r="N41" s="408">
        <f t="shared" si="12"/>
        <v>0.03784105416688016</v>
      </c>
      <c r="O41" s="408">
        <f t="shared" si="12"/>
        <v>0</v>
      </c>
      <c r="P41" s="408">
        <f t="shared" si="12"/>
        <v>0</v>
      </c>
      <c r="Q41" s="408">
        <f t="shared" si="12"/>
        <v>0</v>
      </c>
      <c r="R41" s="408">
        <f t="shared" si="12"/>
        <v>0.06399658826280909</v>
      </c>
      <c r="S41" s="408">
        <f t="shared" si="12"/>
        <v>0.6744089822829983</v>
      </c>
      <c r="T41" s="408">
        <f t="shared" si="12"/>
        <v>0</v>
      </c>
      <c r="U41" s="408">
        <f t="shared" si="12"/>
        <v>0</v>
      </c>
      <c r="V41" s="408">
        <f t="shared" si="4"/>
        <v>0.5599508403861595</v>
      </c>
      <c r="W41" s="408">
        <f t="shared" si="4"/>
        <v>0</v>
      </c>
      <c r="Y41" s="344">
        <f>'6.Network Design'!G45</f>
        <v>1204.6089599999998</v>
      </c>
      <c r="Z41" s="226"/>
      <c r="AA41" s="104"/>
      <c r="AB41" s="104"/>
      <c r="AC41" s="104"/>
      <c r="AD41" s="104"/>
      <c r="AE41" s="104"/>
    </row>
    <row r="42" spans="1:31" ht="12.75" outlineLevel="1">
      <c r="A42" s="83"/>
      <c r="B42" s="85"/>
      <c r="C42" s="291" t="str">
        <f>'C. Masterfiles'!C93</f>
        <v>S10</v>
      </c>
      <c r="D42" s="291" t="str">
        <f>'C. Masterfiles'!D93</f>
        <v>Calls to directory enquiries, emergency &amp; helpdesk</v>
      </c>
      <c r="E42" s="449">
        <f t="shared" si="2"/>
        <v>0.0004175197758333951</v>
      </c>
      <c r="F42" s="449">
        <f aca="true" t="shared" si="13" ref="F42:U42">F25*$Y42/(IF(SUMPRODUCT(F$16:F$28,$Y$33:$Y$45)=0,1,SUMPRODUCT(F$16:F$28,$Y$33:$Y$45)))</f>
        <v>0.0004175197758333951</v>
      </c>
      <c r="G42" s="449">
        <f t="shared" si="13"/>
        <v>0.0004947077397765661</v>
      </c>
      <c r="H42" s="449">
        <f t="shared" si="13"/>
        <v>0.0013671880624763308</v>
      </c>
      <c r="I42" s="449">
        <f t="shared" si="13"/>
        <v>0</v>
      </c>
      <c r="J42" s="449">
        <f t="shared" si="13"/>
        <v>0.6269805690142752</v>
      </c>
      <c r="K42" s="408">
        <f t="shared" si="13"/>
        <v>0.0008194639697581374</v>
      </c>
      <c r="L42" s="408">
        <f t="shared" si="13"/>
        <v>0</v>
      </c>
      <c r="M42" s="408">
        <f t="shared" si="13"/>
        <v>0.0006853122817026785</v>
      </c>
      <c r="N42" s="408">
        <f t="shared" si="13"/>
        <v>0.0006853122817026785</v>
      </c>
      <c r="O42" s="408">
        <f t="shared" si="13"/>
        <v>0.0004421243150209461</v>
      </c>
      <c r="P42" s="408">
        <f t="shared" si="13"/>
        <v>0.0004421243150209461</v>
      </c>
      <c r="Q42" s="408">
        <f t="shared" si="13"/>
        <v>0</v>
      </c>
      <c r="R42" s="408">
        <f t="shared" si="13"/>
        <v>0.0011589964626820127</v>
      </c>
      <c r="S42" s="408">
        <f t="shared" si="13"/>
        <v>0</v>
      </c>
      <c r="T42" s="408">
        <f t="shared" si="13"/>
        <v>0.6269805690142752</v>
      </c>
      <c r="U42" s="408">
        <f t="shared" si="13"/>
        <v>0.6269805690142753</v>
      </c>
      <c r="V42" s="408">
        <f t="shared" si="4"/>
        <v>0</v>
      </c>
      <c r="W42" s="408">
        <f t="shared" si="4"/>
        <v>0</v>
      </c>
      <c r="Y42" s="344">
        <f>'6.Network Design'!G46</f>
        <v>21.81581177142857</v>
      </c>
      <c r="Z42" s="226"/>
      <c r="AA42" s="104"/>
      <c r="AB42" s="104"/>
      <c r="AC42" s="104"/>
      <c r="AD42" s="104"/>
      <c r="AE42" s="104"/>
    </row>
    <row r="43" spans="1:31" ht="12.75" outlineLevel="1">
      <c r="A43" s="83"/>
      <c r="B43" s="85"/>
      <c r="C43" s="291" t="str">
        <f>'C. Masterfiles'!C94</f>
        <v>S11</v>
      </c>
      <c r="D43" s="291" t="str">
        <f>'C. Masterfiles'!D94</f>
        <v>Calls to non-geographic numbers</v>
      </c>
      <c r="E43" s="449">
        <f t="shared" si="2"/>
        <v>0.0002484016202472048</v>
      </c>
      <c r="F43" s="449">
        <f aca="true" t="shared" si="14" ref="F43:U43">F26*$Y43/(IF(SUMPRODUCT(F$16:F$28,$Y$33:$Y$45)=0,1,SUMPRODUCT(F$16:F$28,$Y$33:$Y$45)))</f>
        <v>0.0002484016202472048</v>
      </c>
      <c r="G43" s="449">
        <f t="shared" si="14"/>
        <v>0.0002943242720995507</v>
      </c>
      <c r="H43" s="449">
        <f t="shared" si="14"/>
        <v>0.0008134027405621</v>
      </c>
      <c r="I43" s="449">
        <f t="shared" si="14"/>
        <v>0</v>
      </c>
      <c r="J43" s="449">
        <f t="shared" si="14"/>
        <v>0.3730194309857247</v>
      </c>
      <c r="K43" s="408">
        <f t="shared" si="14"/>
        <v>0.0004875366140820926</v>
      </c>
      <c r="L43" s="408">
        <f t="shared" si="14"/>
        <v>0</v>
      </c>
      <c r="M43" s="408">
        <f t="shared" si="14"/>
        <v>0.00040772363610911436</v>
      </c>
      <c r="N43" s="408">
        <f t="shared" si="14"/>
        <v>0.00040772363610911436</v>
      </c>
      <c r="O43" s="408">
        <f t="shared" si="14"/>
        <v>0.0002630399865076387</v>
      </c>
      <c r="P43" s="408">
        <f t="shared" si="14"/>
        <v>0.0002630399865076387</v>
      </c>
      <c r="Q43" s="408">
        <f t="shared" si="14"/>
        <v>0</v>
      </c>
      <c r="R43" s="408">
        <f t="shared" si="14"/>
        <v>0.0006895400310472281</v>
      </c>
      <c r="S43" s="408">
        <f t="shared" si="14"/>
        <v>0</v>
      </c>
      <c r="T43" s="408">
        <f t="shared" si="14"/>
        <v>0.3730194309857247</v>
      </c>
      <c r="U43" s="408">
        <f t="shared" si="14"/>
        <v>0.3730194309857247</v>
      </c>
      <c r="V43" s="408">
        <f t="shared" si="4"/>
        <v>0</v>
      </c>
      <c r="W43" s="408">
        <f t="shared" si="4"/>
        <v>0</v>
      </c>
      <c r="Y43" s="344">
        <f>'6.Network Design'!G47</f>
        <v>12.97922470909091</v>
      </c>
      <c r="Z43" s="226"/>
      <c r="AA43" s="104"/>
      <c r="AB43" s="104"/>
      <c r="AC43" s="104"/>
      <c r="AD43" s="104"/>
      <c r="AE43" s="104"/>
    </row>
    <row r="44" spans="1:31" ht="12.75" outlineLevel="1">
      <c r="A44" s="83"/>
      <c r="B44" s="85"/>
      <c r="C44" s="291" t="str">
        <f>'C. Masterfiles'!C95</f>
        <v>S12</v>
      </c>
      <c r="D44" s="291" t="str">
        <f>'C. Masterfiles'!D95</f>
        <v>Internet dial-up calls</v>
      </c>
      <c r="E44" s="449">
        <f t="shared" si="2"/>
        <v>0.05210937395289078</v>
      </c>
      <c r="F44" s="449">
        <f aca="true" t="shared" si="15" ref="F44:U44">F27*$Y44/(IF(SUMPRODUCT(F$16:F$28,$Y$33:$Y$45)=0,1,SUMPRODUCT(F$16:F$28,$Y$33:$Y$45)))</f>
        <v>0.05210937395289078</v>
      </c>
      <c r="G44" s="449">
        <f t="shared" si="15"/>
        <v>0.06174296907960868</v>
      </c>
      <c r="H44" s="449">
        <f t="shared" si="15"/>
        <v>0.1706345857972866</v>
      </c>
      <c r="I44" s="449">
        <f t="shared" si="15"/>
        <v>0</v>
      </c>
      <c r="J44" s="449">
        <f t="shared" si="15"/>
        <v>0</v>
      </c>
      <c r="K44" s="408">
        <f t="shared" si="15"/>
        <v>0.10227480687785827</v>
      </c>
      <c r="L44" s="408">
        <f t="shared" si="15"/>
        <v>0</v>
      </c>
      <c r="M44" s="408">
        <f t="shared" si="15"/>
        <v>0.08553174251560172</v>
      </c>
      <c r="N44" s="408">
        <f t="shared" si="15"/>
        <v>0.08553174251560172</v>
      </c>
      <c r="O44" s="408">
        <f t="shared" si="15"/>
        <v>0.055180191690573845</v>
      </c>
      <c r="P44" s="408">
        <f t="shared" si="15"/>
        <v>0.055180191690573845</v>
      </c>
      <c r="Q44" s="408">
        <f t="shared" si="15"/>
        <v>0</v>
      </c>
      <c r="R44" s="408">
        <f t="shared" si="15"/>
        <v>0.14465082513378758</v>
      </c>
      <c r="S44" s="408">
        <f t="shared" si="15"/>
        <v>0</v>
      </c>
      <c r="T44" s="408">
        <f t="shared" si="15"/>
        <v>0</v>
      </c>
      <c r="U44" s="408">
        <f t="shared" si="15"/>
        <v>0</v>
      </c>
      <c r="V44" s="408">
        <f t="shared" si="4"/>
        <v>0</v>
      </c>
      <c r="W44" s="408">
        <f t="shared" si="4"/>
        <v>0</v>
      </c>
      <c r="Y44" s="344">
        <f>'6.Network Design'!G48</f>
        <v>2722.765146666667</v>
      </c>
      <c r="Z44" s="226"/>
      <c r="AA44" s="104"/>
      <c r="AB44" s="104"/>
      <c r="AC44" s="104"/>
      <c r="AD44" s="104"/>
      <c r="AE44" s="104"/>
    </row>
    <row r="45" spans="1:31" ht="12.75" outlineLevel="1">
      <c r="A45" s="83"/>
      <c r="B45" s="85"/>
      <c r="C45" s="291" t="str">
        <f>'C. Masterfiles'!C96</f>
        <v>End</v>
      </c>
      <c r="D45" s="90" t="s">
        <v>635</v>
      </c>
      <c r="E45" s="378">
        <f aca="true" t="shared" si="16" ref="E45:U45">SUM(E33:E44)</f>
        <v>1.0000000000000004</v>
      </c>
      <c r="F45" s="378">
        <f t="shared" si="16"/>
        <v>1.0000000000000004</v>
      </c>
      <c r="G45" s="378">
        <f t="shared" si="16"/>
        <v>1.0000000000000002</v>
      </c>
      <c r="H45" s="378">
        <f t="shared" si="16"/>
        <v>1</v>
      </c>
      <c r="I45" s="378">
        <f t="shared" si="16"/>
        <v>0.9999999999999998</v>
      </c>
      <c r="J45" s="378">
        <f t="shared" si="16"/>
        <v>1</v>
      </c>
      <c r="K45" s="378">
        <f t="shared" si="16"/>
        <v>1</v>
      </c>
      <c r="L45" s="378">
        <f t="shared" si="16"/>
        <v>0.9999999999999999</v>
      </c>
      <c r="M45" s="378">
        <f t="shared" si="16"/>
        <v>0.9999999999999999</v>
      </c>
      <c r="N45" s="378">
        <f t="shared" si="16"/>
        <v>0.9999999999999999</v>
      </c>
      <c r="O45" s="378">
        <f t="shared" si="16"/>
        <v>1.0000000000000004</v>
      </c>
      <c r="P45" s="378">
        <f t="shared" si="16"/>
        <v>1.0000000000000004</v>
      </c>
      <c r="Q45" s="378">
        <f t="shared" si="16"/>
        <v>1</v>
      </c>
      <c r="R45" s="378">
        <f t="shared" si="16"/>
        <v>0.9999999999999999</v>
      </c>
      <c r="S45" s="378">
        <f t="shared" si="16"/>
        <v>1</v>
      </c>
      <c r="T45" s="378">
        <f t="shared" si="16"/>
        <v>1</v>
      </c>
      <c r="U45" s="378">
        <f t="shared" si="16"/>
        <v>1</v>
      </c>
      <c r="V45" s="378">
        <f>SUM(V33:V44)</f>
        <v>1</v>
      </c>
      <c r="W45" s="378">
        <f>SUM(W33:W44)</f>
        <v>1</v>
      </c>
      <c r="Y45" s="232">
        <f>SUM(Y33:Y44)</f>
        <v>31833.388009954448</v>
      </c>
      <c r="Z45" s="228" t="str">
        <f>IF(Y45='6.Network Design'!G$52,"Ok","Not Ok")</f>
        <v>Ok</v>
      </c>
      <c r="AA45" s="104"/>
      <c r="AB45" s="104"/>
      <c r="AC45" s="104"/>
      <c r="AD45" s="104"/>
      <c r="AE45" s="104"/>
    </row>
    <row r="46" ht="12.75">
      <c r="AA46" s="217"/>
    </row>
    <row r="47" ht="12.75">
      <c r="Y47" s="226"/>
    </row>
    <row r="48" ht="12.75">
      <c r="Y48" s="226"/>
    </row>
    <row r="49" spans="1:31" ht="12.75">
      <c r="A49" s="83"/>
      <c r="B49" s="85"/>
      <c r="C49" s="83"/>
      <c r="D49" s="102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83"/>
      <c r="Y49" s="88">
        <f>C50</f>
        <v>2009</v>
      </c>
      <c r="Z49" s="83"/>
      <c r="AA49" s="83"/>
      <c r="AB49" s="83"/>
      <c r="AC49" s="83"/>
      <c r="AD49" s="83"/>
      <c r="AE49" s="83"/>
    </row>
    <row r="50" spans="1:31" ht="39.75">
      <c r="A50" s="83"/>
      <c r="B50" s="85"/>
      <c r="C50" s="338">
        <f>'C. Masterfiles'!D$102</f>
        <v>2009</v>
      </c>
      <c r="D50" s="90" t="s">
        <v>686</v>
      </c>
      <c r="E50" s="376" t="str">
        <f aca="true" t="shared" si="17" ref="E50:U50">E32</f>
        <v>RAU</v>
      </c>
      <c r="F50" s="376" t="str">
        <f t="shared" si="17"/>
        <v>LS</v>
      </c>
      <c r="G50" s="376" t="str">
        <f t="shared" si="17"/>
        <v>TS</v>
      </c>
      <c r="H50" s="376" t="str">
        <f t="shared" si="17"/>
        <v>ISC</v>
      </c>
      <c r="I50" s="376" t="str">
        <f t="shared" si="17"/>
        <v>IGW</v>
      </c>
      <c r="J50" s="376" t="str">
        <f t="shared" si="17"/>
        <v>IN</v>
      </c>
      <c r="K50" s="376" t="str">
        <f t="shared" si="17"/>
        <v>RBIL</v>
      </c>
      <c r="L50" s="376" t="str">
        <f t="shared" si="17"/>
        <v>IBIL</v>
      </c>
      <c r="M50" s="376" t="str">
        <f t="shared" si="17"/>
        <v>NMS</v>
      </c>
      <c r="N50" s="376" t="str">
        <f t="shared" si="17"/>
        <v>OSS</v>
      </c>
      <c r="O50" s="376" t="str">
        <f t="shared" si="17"/>
        <v>Rau-TS</v>
      </c>
      <c r="P50" s="376" t="str">
        <f t="shared" si="17"/>
        <v>LS-TS</v>
      </c>
      <c r="Q50" s="376" t="str">
        <f t="shared" si="17"/>
        <v>TS-TS</v>
      </c>
      <c r="R50" s="376" t="str">
        <f t="shared" si="17"/>
        <v>TS-ISC</v>
      </c>
      <c r="S50" s="376" t="str">
        <f t="shared" si="17"/>
        <v>ISC-ISC</v>
      </c>
      <c r="T50" s="376" t="str">
        <f t="shared" si="17"/>
        <v>ISC-IN</v>
      </c>
      <c r="U50" s="376" t="str">
        <f t="shared" si="17"/>
        <v>TS-IN</v>
      </c>
      <c r="V50" s="376" t="str">
        <f>V32</f>
        <v>TS-IGW</v>
      </c>
      <c r="W50" s="376" t="str">
        <f>W32</f>
        <v>LS-LS</v>
      </c>
      <c r="Y50" s="227" t="s">
        <v>573</v>
      </c>
      <c r="AA50" s="83"/>
      <c r="AB50" s="83"/>
      <c r="AC50" s="83"/>
      <c r="AD50" s="83"/>
      <c r="AE50" s="83"/>
    </row>
    <row r="51" spans="1:31" ht="12.75">
      <c r="A51" s="83"/>
      <c r="B51" s="85"/>
      <c r="C51" s="291" t="str">
        <f>'C. Masterfiles'!C84</f>
        <v>S01</v>
      </c>
      <c r="D51" s="291" t="str">
        <f>'C. Masterfiles'!D84</f>
        <v>On-net local calls</v>
      </c>
      <c r="E51" s="408">
        <f aca="true" t="shared" si="18" ref="E51:U51">E16*$Y51/(IF(SUMPRODUCT(E$16:E$28,$Y$51:$Y$63)=0,1,SUMPRODUCT(E$16:E$28,$Y$51:$Y$63)))</f>
        <v>0.7471046718095578</v>
      </c>
      <c r="F51" s="408">
        <f t="shared" si="18"/>
        <v>0.7471046718095578</v>
      </c>
      <c r="G51" s="408">
        <f t="shared" si="18"/>
        <v>0.6739400780981963</v>
      </c>
      <c r="H51" s="408">
        <f t="shared" si="18"/>
        <v>0.27518897689972993</v>
      </c>
      <c r="I51" s="408">
        <f t="shared" si="18"/>
        <v>0</v>
      </c>
      <c r="J51" s="408">
        <f t="shared" si="18"/>
        <v>0</v>
      </c>
      <c r="K51" s="408">
        <f t="shared" si="18"/>
        <v>0.7522675015116828</v>
      </c>
      <c r="L51" s="408">
        <f t="shared" si="18"/>
        <v>0</v>
      </c>
      <c r="M51" s="408">
        <f t="shared" si="18"/>
        <v>0.6309184608247038</v>
      </c>
      <c r="N51" s="408">
        <f t="shared" si="18"/>
        <v>0.6309184608247038</v>
      </c>
      <c r="O51" s="408">
        <f t="shared" si="18"/>
        <v>0.7885580955267845</v>
      </c>
      <c r="P51" s="408">
        <f t="shared" si="18"/>
        <v>0.7885580955267845</v>
      </c>
      <c r="Q51" s="408">
        <f t="shared" si="18"/>
        <v>1</v>
      </c>
      <c r="R51" s="408">
        <f t="shared" si="18"/>
        <v>0.22855209768412768</v>
      </c>
      <c r="S51" s="408">
        <f t="shared" si="18"/>
        <v>0</v>
      </c>
      <c r="T51" s="408">
        <f t="shared" si="18"/>
        <v>0</v>
      </c>
      <c r="U51" s="408">
        <f t="shared" si="18"/>
        <v>0</v>
      </c>
      <c r="V51" s="408">
        <f aca="true" t="shared" si="19" ref="V51:W62">V16*$Y51/(IF(SUMPRODUCT(V$16:V$28,$Y$51:$Y$63)=0,1,SUMPRODUCT(V$16:V$28,$Y$51:$Y$63)))</f>
        <v>0</v>
      </c>
      <c r="W51" s="408">
        <f t="shared" si="19"/>
        <v>1</v>
      </c>
      <c r="Y51" s="344">
        <f>'6.Network Design'!H37</f>
        <v>18346.282</v>
      </c>
      <c r="Z51" s="226"/>
      <c r="AA51" s="104"/>
      <c r="AB51" s="104"/>
      <c r="AC51" s="104"/>
      <c r="AD51" s="104"/>
      <c r="AE51" s="104"/>
    </row>
    <row r="52" spans="1:31" ht="12.75" outlineLevel="1">
      <c r="A52" s="83"/>
      <c r="B52" s="85"/>
      <c r="C52" s="291" t="str">
        <f>'C. Masterfiles'!C85</f>
        <v>S02</v>
      </c>
      <c r="D52" s="291" t="str">
        <f>'C. Masterfiles'!D85</f>
        <v>On-net national calls</v>
      </c>
      <c r="E52" s="408">
        <f aca="true" t="shared" si="20" ref="E52:U52">E17*$Y52/(IF(SUMPRODUCT(E$16:E$28,$Y$51:$Y$63)=0,1,SUMPRODUCT(E$16:E$28,$Y$51:$Y$63)))</f>
        <v>0.10513727257985846</v>
      </c>
      <c r="F52" s="408">
        <f t="shared" si="20"/>
        <v>0.10513727257985846</v>
      </c>
      <c r="G52" s="408">
        <f t="shared" si="20"/>
        <v>0.12645478715743314</v>
      </c>
      <c r="H52" s="408">
        <f t="shared" si="20"/>
        <v>0.11617897558531558</v>
      </c>
      <c r="I52" s="408">
        <f t="shared" si="20"/>
        <v>0</v>
      </c>
      <c r="J52" s="408">
        <f t="shared" si="20"/>
        <v>0</v>
      </c>
      <c r="K52" s="408">
        <f t="shared" si="20"/>
        <v>0.10586381847651438</v>
      </c>
      <c r="L52" s="408">
        <f t="shared" si="20"/>
        <v>0</v>
      </c>
      <c r="M52" s="408">
        <f t="shared" si="20"/>
        <v>0.08878681755626927</v>
      </c>
      <c r="N52" s="408">
        <f t="shared" si="20"/>
        <v>0.08878681755626927</v>
      </c>
      <c r="O52" s="408">
        <f t="shared" si="20"/>
        <v>0.05548542966117815</v>
      </c>
      <c r="P52" s="408">
        <f t="shared" si="20"/>
        <v>0.05548542966117815</v>
      </c>
      <c r="Q52" s="408">
        <f t="shared" si="20"/>
        <v>0</v>
      </c>
      <c r="R52" s="408">
        <f t="shared" si="20"/>
        <v>0.3216328996405983</v>
      </c>
      <c r="S52" s="408">
        <f t="shared" si="20"/>
        <v>0.36618215398010917</v>
      </c>
      <c r="T52" s="408">
        <f t="shared" si="20"/>
        <v>0</v>
      </c>
      <c r="U52" s="408">
        <f t="shared" si="20"/>
        <v>0</v>
      </c>
      <c r="V52" s="408">
        <f t="shared" si="19"/>
        <v>0</v>
      </c>
      <c r="W52" s="408">
        <f t="shared" si="19"/>
        <v>0</v>
      </c>
      <c r="Y52" s="344">
        <f>'6.Network Design'!H38</f>
        <v>2581.8042962962963</v>
      </c>
      <c r="Z52" s="226"/>
      <c r="AA52" s="104"/>
      <c r="AB52" s="104"/>
      <c r="AC52" s="104"/>
      <c r="AD52" s="104"/>
      <c r="AE52" s="104"/>
    </row>
    <row r="53" spans="1:31" ht="12.75" outlineLevel="1">
      <c r="A53" s="83"/>
      <c r="B53" s="85"/>
      <c r="C53" s="291" t="str">
        <f>'C. Masterfiles'!C86</f>
        <v>S03</v>
      </c>
      <c r="D53" s="291" t="str">
        <f>'C. Masterfiles'!D86</f>
        <v>Originating calls (local)</v>
      </c>
      <c r="E53" s="408">
        <f aca="true" t="shared" si="21" ref="E53:U53">E18*$Y53/(IF(SUMPRODUCT(E$16:E$28,$Y$51:$Y$63)=0,1,SUMPRODUCT(E$16:E$28,$Y$51:$Y$63)))</f>
        <v>0.009246337188059747</v>
      </c>
      <c r="F53" s="408">
        <f t="shared" si="21"/>
        <v>0.009246337188059747</v>
      </c>
      <c r="G53" s="408">
        <f t="shared" si="21"/>
        <v>0.011121114067457277</v>
      </c>
      <c r="H53" s="408">
        <f t="shared" si="21"/>
        <v>0</v>
      </c>
      <c r="I53" s="408">
        <f t="shared" si="21"/>
        <v>0.11133064232195626</v>
      </c>
      <c r="J53" s="408">
        <f t="shared" si="21"/>
        <v>0</v>
      </c>
      <c r="K53" s="408">
        <f t="shared" si="21"/>
        <v>0.01862046708327726</v>
      </c>
      <c r="L53" s="408">
        <f t="shared" si="21"/>
        <v>0</v>
      </c>
      <c r="M53" s="408">
        <f t="shared" si="21"/>
        <v>0.015616780478235113</v>
      </c>
      <c r="N53" s="408">
        <f t="shared" si="21"/>
        <v>0.015616780478235113</v>
      </c>
      <c r="O53" s="408">
        <f t="shared" si="21"/>
        <v>0.009759374179731372</v>
      </c>
      <c r="P53" s="408">
        <f t="shared" si="21"/>
        <v>0.009759374179731372</v>
      </c>
      <c r="Q53" s="408">
        <f t="shared" si="21"/>
        <v>0</v>
      </c>
      <c r="R53" s="408">
        <f t="shared" si="21"/>
        <v>0</v>
      </c>
      <c r="S53" s="408">
        <f t="shared" si="21"/>
        <v>0</v>
      </c>
      <c r="T53" s="408">
        <f t="shared" si="21"/>
        <v>0</v>
      </c>
      <c r="U53" s="408">
        <f t="shared" si="21"/>
        <v>0</v>
      </c>
      <c r="V53" s="408">
        <f t="shared" si="19"/>
        <v>0.24912075988363058</v>
      </c>
      <c r="W53" s="408">
        <f t="shared" si="19"/>
        <v>0</v>
      </c>
      <c r="Y53" s="344">
        <f>'6.Network Design'!H39</f>
        <v>454.11550996825395</v>
      </c>
      <c r="Z53" s="226"/>
      <c r="AA53" s="104"/>
      <c r="AB53" s="104"/>
      <c r="AC53" s="104"/>
      <c r="AD53" s="104"/>
      <c r="AE53" s="104"/>
    </row>
    <row r="54" spans="1:31" ht="12.75" outlineLevel="1">
      <c r="A54" s="83"/>
      <c r="B54" s="85"/>
      <c r="C54" s="291" t="str">
        <f>'C. Masterfiles'!C87</f>
        <v>S04</v>
      </c>
      <c r="D54" s="291" t="str">
        <f>'C. Masterfiles'!D87</f>
        <v>Originating calls (national) </v>
      </c>
      <c r="E54" s="408">
        <f aca="true" t="shared" si="22" ref="E54:U54">E19*$Y54/(IF(SUMPRODUCT(E$16:E$28,$Y$51:$Y$63)=0,1,SUMPRODUCT(E$16:E$28,$Y$51:$Y$63)))</f>
        <v>0.014520029780072543</v>
      </c>
      <c r="F54" s="408">
        <f t="shared" si="22"/>
        <v>0.014520029780072543</v>
      </c>
      <c r="G54" s="408">
        <f t="shared" si="22"/>
        <v>0.01746409460987309</v>
      </c>
      <c r="H54" s="408">
        <f t="shared" si="22"/>
        <v>0.053483163611514915</v>
      </c>
      <c r="I54" s="408">
        <f t="shared" si="22"/>
        <v>0.17482860608165005</v>
      </c>
      <c r="J54" s="408">
        <f t="shared" si="22"/>
        <v>0</v>
      </c>
      <c r="K54" s="408">
        <f t="shared" si="22"/>
        <v>0.02924073944839348</v>
      </c>
      <c r="L54" s="408">
        <f t="shared" si="22"/>
        <v>0</v>
      </c>
      <c r="M54" s="408">
        <f t="shared" si="22"/>
        <v>0.024523885837264378</v>
      </c>
      <c r="N54" s="408">
        <f t="shared" si="22"/>
        <v>0.024523885837264378</v>
      </c>
      <c r="O54" s="408">
        <f t="shared" si="22"/>
        <v>0.015325679871112968</v>
      </c>
      <c r="P54" s="408">
        <f t="shared" si="22"/>
        <v>0.015325679871112968</v>
      </c>
      <c r="Q54" s="408">
        <f t="shared" si="22"/>
        <v>0</v>
      </c>
      <c r="R54" s="408">
        <f t="shared" si="22"/>
        <v>0.044419254622430106</v>
      </c>
      <c r="S54" s="408">
        <f t="shared" si="22"/>
        <v>0</v>
      </c>
      <c r="T54" s="408">
        <f t="shared" si="22"/>
        <v>0</v>
      </c>
      <c r="U54" s="408">
        <f t="shared" si="22"/>
        <v>0</v>
      </c>
      <c r="V54" s="408">
        <f t="shared" si="19"/>
        <v>0</v>
      </c>
      <c r="W54" s="408">
        <f t="shared" si="19"/>
        <v>0</v>
      </c>
      <c r="Y54" s="344">
        <f>'6.Network Design'!H40</f>
        <v>713.1224607346938</v>
      </c>
      <c r="Z54" s="226"/>
      <c r="AA54" s="104"/>
      <c r="AB54" s="104"/>
      <c r="AC54" s="104"/>
      <c r="AD54" s="104"/>
      <c r="AE54" s="104"/>
    </row>
    <row r="55" spans="1:31" ht="12.75" outlineLevel="1">
      <c r="A55" s="83"/>
      <c r="B55" s="85"/>
      <c r="C55" s="291" t="str">
        <f>'C. Masterfiles'!C88</f>
        <v>S05</v>
      </c>
      <c r="D55" s="291" t="str">
        <f>'C. Masterfiles'!D88</f>
        <v>Originating calls (international)</v>
      </c>
      <c r="E55" s="408">
        <f aca="true" t="shared" si="23" ref="E55:U55">E20*$Y55/(IF(SUMPRODUCT(E$16:E$28,$Y$51:$Y$63)=0,1,SUMPRODUCT(E$16:E$28,$Y$51:$Y$63)))</f>
        <v>0.012628036220246861</v>
      </c>
      <c r="F55" s="408">
        <f t="shared" si="23"/>
        <v>0.012628036220246861</v>
      </c>
      <c r="G55" s="408">
        <f t="shared" si="23"/>
        <v>0.015188482573910641</v>
      </c>
      <c r="H55" s="408">
        <f t="shared" si="23"/>
        <v>0.046514183337730386</v>
      </c>
      <c r="I55" s="408">
        <f t="shared" si="23"/>
        <v>0</v>
      </c>
      <c r="J55" s="408">
        <f t="shared" si="23"/>
        <v>0</v>
      </c>
      <c r="K55" s="408">
        <f t="shared" si="23"/>
        <v>0.02543060327382258</v>
      </c>
      <c r="L55" s="408">
        <f t="shared" si="23"/>
        <v>0</v>
      </c>
      <c r="M55" s="408">
        <f t="shared" si="23"/>
        <v>0.02132836662905428</v>
      </c>
      <c r="N55" s="408">
        <f t="shared" si="23"/>
        <v>0.02132836662905428</v>
      </c>
      <c r="O55" s="408">
        <f t="shared" si="23"/>
        <v>0.013328708235704178</v>
      </c>
      <c r="P55" s="408">
        <f t="shared" si="23"/>
        <v>0.013328708235704178</v>
      </c>
      <c r="Q55" s="408">
        <f t="shared" si="23"/>
        <v>0</v>
      </c>
      <c r="R55" s="408">
        <f t="shared" si="23"/>
        <v>0.03863132271383074</v>
      </c>
      <c r="S55" s="408">
        <f t="shared" si="23"/>
        <v>0</v>
      </c>
      <c r="T55" s="408">
        <f t="shared" si="23"/>
        <v>0</v>
      </c>
      <c r="U55" s="408">
        <f t="shared" si="23"/>
        <v>0</v>
      </c>
      <c r="V55" s="408">
        <f t="shared" si="19"/>
        <v>0</v>
      </c>
      <c r="W55" s="408">
        <f t="shared" si="19"/>
        <v>0</v>
      </c>
      <c r="Y55" s="344">
        <f>'6.Network Design'!H41</f>
        <v>620.2009500000001</v>
      </c>
      <c r="Z55" s="226"/>
      <c r="AA55" s="104"/>
      <c r="AB55" s="104"/>
      <c r="AC55" s="104"/>
      <c r="AD55" s="104"/>
      <c r="AE55" s="104"/>
    </row>
    <row r="56" spans="1:31" ht="12.75" outlineLevel="1">
      <c r="A56" s="83"/>
      <c r="B56" s="85"/>
      <c r="C56" s="291" t="str">
        <f>'C. Masterfiles'!C89</f>
        <v>S06</v>
      </c>
      <c r="D56" s="291" t="str">
        <f>'C. Masterfiles'!D89</f>
        <v>Terminating calls (local)</v>
      </c>
      <c r="E56" s="408">
        <f aca="true" t="shared" si="24" ref="E56:U56">E21*$Y56/(IF(SUMPRODUCT(E$16:E$28,$Y$51:$Y$63)=0,1,SUMPRODUCT(E$16:E$28,$Y$51:$Y$63)))</f>
        <v>0.009671532661361113</v>
      </c>
      <c r="F56" s="408">
        <f t="shared" si="24"/>
        <v>0.009671532661361113</v>
      </c>
      <c r="G56" s="408">
        <f t="shared" si="24"/>
        <v>0.011632521694431698</v>
      </c>
      <c r="H56" s="408">
        <f t="shared" si="24"/>
        <v>0</v>
      </c>
      <c r="I56" s="408">
        <f t="shared" si="24"/>
        <v>0.11645021390930418</v>
      </c>
      <c r="J56" s="408">
        <f t="shared" si="24"/>
        <v>0</v>
      </c>
      <c r="K56" s="408">
        <f t="shared" si="24"/>
        <v>0</v>
      </c>
      <c r="L56" s="408">
        <f t="shared" si="24"/>
        <v>0.10126352342917831</v>
      </c>
      <c r="M56" s="408">
        <f t="shared" si="24"/>
        <v>0.016334922617314954</v>
      </c>
      <c r="N56" s="408">
        <f t="shared" si="24"/>
        <v>0.016334922617314954</v>
      </c>
      <c r="O56" s="408">
        <f t="shared" si="24"/>
        <v>0.010208161806558851</v>
      </c>
      <c r="P56" s="408">
        <f t="shared" si="24"/>
        <v>0.010208161806558851</v>
      </c>
      <c r="Q56" s="408">
        <f t="shared" si="24"/>
        <v>0</v>
      </c>
      <c r="R56" s="408">
        <f t="shared" si="24"/>
        <v>0</v>
      </c>
      <c r="S56" s="408">
        <f t="shared" si="24"/>
        <v>0</v>
      </c>
      <c r="T56" s="408">
        <f t="shared" si="24"/>
        <v>0</v>
      </c>
      <c r="U56" s="408">
        <f t="shared" si="24"/>
        <v>0</v>
      </c>
      <c r="V56" s="408">
        <f t="shared" si="19"/>
        <v>0.2605766496325684</v>
      </c>
      <c r="W56" s="408">
        <f t="shared" si="19"/>
        <v>0</v>
      </c>
      <c r="Y56" s="344">
        <f>'6.Network Design'!H42</f>
        <v>474.9981422222222</v>
      </c>
      <c r="Z56" s="226"/>
      <c r="AA56" s="104"/>
      <c r="AB56" s="104"/>
      <c r="AC56" s="104"/>
      <c r="AD56" s="104"/>
      <c r="AE56" s="104"/>
    </row>
    <row r="57" spans="1:31" ht="12.75" outlineLevel="1">
      <c r="A57" s="83"/>
      <c r="B57" s="85"/>
      <c r="C57" s="291" t="str">
        <f>'C. Masterfiles'!C90</f>
        <v>S07</v>
      </c>
      <c r="D57" s="291" t="str">
        <f>'C. Masterfiles'!D90</f>
        <v>Terminating calls (national) </v>
      </c>
      <c r="E57" s="408">
        <f aca="true" t="shared" si="25" ref="E57:U57">E22*$Y57/(IF(SUMPRODUCT(E$16:E$28,$Y$51:$Y$63)=0,1,SUMPRODUCT(E$16:E$28,$Y$51:$Y$63)))</f>
        <v>0.013219012652241506</v>
      </c>
      <c r="F57" s="408">
        <f t="shared" si="25"/>
        <v>0.013219012652241506</v>
      </c>
      <c r="G57" s="408">
        <f t="shared" si="25"/>
        <v>0.015899284719421678</v>
      </c>
      <c r="H57" s="408">
        <f t="shared" si="25"/>
        <v>0.0486909894243334</v>
      </c>
      <c r="I57" s="408">
        <f t="shared" si="25"/>
        <v>0.1591636925523945</v>
      </c>
      <c r="J57" s="408">
        <f t="shared" si="25"/>
        <v>0</v>
      </c>
      <c r="K57" s="408">
        <f t="shared" si="25"/>
        <v>0</v>
      </c>
      <c r="L57" s="408">
        <f t="shared" si="25"/>
        <v>0.13840658397078454</v>
      </c>
      <c r="M57" s="408">
        <f t="shared" si="25"/>
        <v>0.02232650773277577</v>
      </c>
      <c r="N57" s="408">
        <f t="shared" si="25"/>
        <v>0.02232650773277577</v>
      </c>
      <c r="O57" s="408">
        <f t="shared" si="25"/>
        <v>0.013952475248947676</v>
      </c>
      <c r="P57" s="408">
        <f t="shared" si="25"/>
        <v>0.013952475248947676</v>
      </c>
      <c r="Q57" s="408">
        <f t="shared" si="25"/>
        <v>0</v>
      </c>
      <c r="R57" s="408">
        <f t="shared" si="25"/>
        <v>0.04043922070069659</v>
      </c>
      <c r="S57" s="408">
        <f t="shared" si="25"/>
        <v>0</v>
      </c>
      <c r="T57" s="408">
        <f t="shared" si="25"/>
        <v>0</v>
      </c>
      <c r="U57" s="408">
        <f t="shared" si="25"/>
        <v>0</v>
      </c>
      <c r="V57" s="408">
        <f t="shared" si="19"/>
        <v>0</v>
      </c>
      <c r="W57" s="408">
        <f t="shared" si="19"/>
        <v>0</v>
      </c>
      <c r="Y57" s="344">
        <f>'6.Network Design'!H43</f>
        <v>649.225585197279</v>
      </c>
      <c r="Z57" s="226"/>
      <c r="AA57" s="104"/>
      <c r="AB57" s="104"/>
      <c r="AC57" s="104"/>
      <c r="AD57" s="104"/>
      <c r="AE57" s="104"/>
    </row>
    <row r="58" spans="1:31" ht="12.75" outlineLevel="1">
      <c r="A58" s="83"/>
      <c r="B58" s="85"/>
      <c r="C58" s="291" t="str">
        <f>'C. Masterfiles'!C91</f>
        <v>S08</v>
      </c>
      <c r="D58" s="291" t="str">
        <f>'C. Masterfiles'!D91</f>
        <v>Terminating calls (international)</v>
      </c>
      <c r="E58" s="408">
        <f aca="true" t="shared" si="26" ref="E58:U58">E23*$Y58/(IF(SUMPRODUCT(E$16:E$28,$Y$51:$Y$63)=0,1,SUMPRODUCT(E$16:E$28,$Y$51:$Y$63)))</f>
        <v>0.05441999434867538</v>
      </c>
      <c r="F58" s="408">
        <f t="shared" si="26"/>
        <v>0.05441999434867538</v>
      </c>
      <c r="G58" s="408">
        <f t="shared" si="26"/>
        <v>0.06545413090532089</v>
      </c>
      <c r="H58" s="408">
        <f t="shared" si="26"/>
        <v>0.2004509292041811</v>
      </c>
      <c r="I58" s="408">
        <f t="shared" si="26"/>
        <v>0</v>
      </c>
      <c r="J58" s="408">
        <f t="shared" si="26"/>
        <v>0</v>
      </c>
      <c r="K58" s="408">
        <f t="shared" si="26"/>
        <v>0</v>
      </c>
      <c r="L58" s="408">
        <f t="shared" si="26"/>
        <v>0.5697918381394671</v>
      </c>
      <c r="M58" s="408">
        <f t="shared" si="26"/>
        <v>0.09191370464701759</v>
      </c>
      <c r="N58" s="408">
        <f t="shared" si="26"/>
        <v>0.09191370464701759</v>
      </c>
      <c r="O58" s="408">
        <f t="shared" si="26"/>
        <v>0.05743951111727052</v>
      </c>
      <c r="P58" s="408">
        <f t="shared" si="26"/>
        <v>0.05743951111727052</v>
      </c>
      <c r="Q58" s="408">
        <f t="shared" si="26"/>
        <v>0</v>
      </c>
      <c r="R58" s="408">
        <f t="shared" si="26"/>
        <v>0.16648007078074617</v>
      </c>
      <c r="S58" s="408">
        <f t="shared" si="26"/>
        <v>0</v>
      </c>
      <c r="T58" s="408">
        <f t="shared" si="26"/>
        <v>0</v>
      </c>
      <c r="U58" s="408">
        <f t="shared" si="26"/>
        <v>0</v>
      </c>
      <c r="V58" s="408">
        <f t="shared" si="19"/>
        <v>0</v>
      </c>
      <c r="W58" s="408">
        <f t="shared" si="19"/>
        <v>0</v>
      </c>
      <c r="Y58" s="344">
        <f>'6.Network Design'!H44</f>
        <v>2672.730075</v>
      </c>
      <c r="Z58" s="226"/>
      <c r="AA58" s="104"/>
      <c r="AB58" s="104"/>
      <c r="AC58" s="104"/>
      <c r="AD58" s="104"/>
      <c r="AE58" s="104"/>
    </row>
    <row r="59" spans="1:31" ht="12.75" outlineLevel="1">
      <c r="A59" s="83"/>
      <c r="B59" s="85"/>
      <c r="C59" s="291" t="str">
        <f>'C. Masterfiles'!C92</f>
        <v>S09</v>
      </c>
      <c r="D59" s="291" t="str">
        <f>'C. Masterfiles'!D92</f>
        <v>Transit calls</v>
      </c>
      <c r="E59" s="408">
        <f aca="true" t="shared" si="27" ref="E59:U59">E24*$Y59/(IF(SUMPRODUCT(E$16:E$28,$Y$51:$Y$63)=0,1,SUMPRODUCT(E$16:E$28,$Y$51:$Y$63)))</f>
        <v>0</v>
      </c>
      <c r="F59" s="408">
        <f t="shared" si="27"/>
        <v>0</v>
      </c>
      <c r="G59" s="408">
        <f t="shared" si="27"/>
        <v>0.02188782275265706</v>
      </c>
      <c r="H59" s="408">
        <f t="shared" si="27"/>
        <v>0.13406134489427196</v>
      </c>
      <c r="I59" s="408">
        <f t="shared" si="27"/>
        <v>0.43822684513469495</v>
      </c>
      <c r="J59" s="408">
        <f t="shared" si="27"/>
        <v>0</v>
      </c>
      <c r="K59" s="408">
        <f t="shared" si="27"/>
        <v>0</v>
      </c>
      <c r="L59" s="408">
        <f t="shared" si="27"/>
        <v>0.19053805446057012</v>
      </c>
      <c r="M59" s="408">
        <f t="shared" si="27"/>
        <v>0.030735888599056328</v>
      </c>
      <c r="N59" s="408">
        <f t="shared" si="27"/>
        <v>0.030735888599056328</v>
      </c>
      <c r="O59" s="408">
        <f t="shared" si="27"/>
        <v>0</v>
      </c>
      <c r="P59" s="408">
        <f t="shared" si="27"/>
        <v>0</v>
      </c>
      <c r="Q59" s="408">
        <f t="shared" si="27"/>
        <v>0</v>
      </c>
      <c r="R59" s="408">
        <f t="shared" si="27"/>
        <v>0.05567083743529708</v>
      </c>
      <c r="S59" s="408">
        <f t="shared" si="27"/>
        <v>0.6338178460198909</v>
      </c>
      <c r="T59" s="408">
        <f t="shared" si="27"/>
        <v>0</v>
      </c>
      <c r="U59" s="408">
        <f t="shared" si="27"/>
        <v>0</v>
      </c>
      <c r="V59" s="408">
        <f t="shared" si="19"/>
        <v>0.4903025904838011</v>
      </c>
      <c r="W59" s="408">
        <f t="shared" si="19"/>
        <v>0</v>
      </c>
      <c r="Y59" s="344">
        <f>'6.Network Design'!H45</f>
        <v>893.7593599999999</v>
      </c>
      <c r="Z59" s="226"/>
      <c r="AA59" s="104"/>
      <c r="AB59" s="104"/>
      <c r="AC59" s="104"/>
      <c r="AD59" s="104"/>
      <c r="AE59" s="104"/>
    </row>
    <row r="60" spans="1:31" ht="12.75" outlineLevel="1">
      <c r="A60" s="83"/>
      <c r="B60" s="85"/>
      <c r="C60" s="291" t="str">
        <f>'C. Masterfiles'!C93</f>
        <v>S10</v>
      </c>
      <c r="D60" s="291" t="str">
        <f>'C. Masterfiles'!D93</f>
        <v>Calls to directory enquiries, emergency &amp; helpdesk</v>
      </c>
      <c r="E60" s="408">
        <f aca="true" t="shared" si="28" ref="E60:U60">E25*$Y60/(IF(SUMPRODUCT(E$16:E$28,$Y$51:$Y$63)=0,1,SUMPRODUCT(E$16:E$28,$Y$51:$Y$63)))</f>
        <v>0.00043967835260729676</v>
      </c>
      <c r="F60" s="408">
        <f t="shared" si="28"/>
        <v>0.00043967835260729676</v>
      </c>
      <c r="G60" s="408">
        <f t="shared" si="28"/>
        <v>0.0005288270385219974</v>
      </c>
      <c r="H60" s="408">
        <f t="shared" si="28"/>
        <v>0.0016195138457092003</v>
      </c>
      <c r="I60" s="408">
        <f t="shared" si="28"/>
        <v>0</v>
      </c>
      <c r="J60" s="408">
        <f t="shared" si="28"/>
        <v>0.6429929791044298</v>
      </c>
      <c r="K60" s="408">
        <f t="shared" si="28"/>
        <v>0.0008854334560204056</v>
      </c>
      <c r="L60" s="408">
        <f t="shared" si="28"/>
        <v>0</v>
      </c>
      <c r="M60" s="408">
        <f t="shared" si="28"/>
        <v>0.0007426032789034643</v>
      </c>
      <c r="N60" s="408">
        <f t="shared" si="28"/>
        <v>0.0007426032789034643</v>
      </c>
      <c r="O60" s="408">
        <f t="shared" si="28"/>
        <v>0.0004640740949144316</v>
      </c>
      <c r="P60" s="408">
        <f t="shared" si="28"/>
        <v>0.0004640740949144316</v>
      </c>
      <c r="Q60" s="408">
        <f t="shared" si="28"/>
        <v>0</v>
      </c>
      <c r="R60" s="408">
        <f t="shared" si="28"/>
        <v>0.0013450512837954072</v>
      </c>
      <c r="S60" s="408">
        <f t="shared" si="28"/>
        <v>0</v>
      </c>
      <c r="T60" s="408">
        <f t="shared" si="28"/>
        <v>0.6429929791044298</v>
      </c>
      <c r="U60" s="408">
        <f t="shared" si="28"/>
        <v>0.6429929791044299</v>
      </c>
      <c r="V60" s="408">
        <f t="shared" si="19"/>
        <v>0</v>
      </c>
      <c r="W60" s="408">
        <f t="shared" si="19"/>
        <v>0</v>
      </c>
      <c r="Y60" s="344">
        <f>'6.Network Design'!H46</f>
        <v>21.593930142857143</v>
      </c>
      <c r="Z60" s="226"/>
      <c r="AA60" s="104"/>
      <c r="AB60" s="104"/>
      <c r="AC60" s="104"/>
      <c r="AD60" s="104"/>
      <c r="AE60" s="104"/>
    </row>
    <row r="61" spans="1:31" ht="12.75" outlineLevel="1">
      <c r="A61" s="83"/>
      <c r="B61" s="85"/>
      <c r="C61" s="291" t="str">
        <f>'C. Masterfiles'!C94</f>
        <v>S11</v>
      </c>
      <c r="D61" s="291" t="str">
        <f>'C. Masterfiles'!D94</f>
        <v>Calls to non-geographic numbers</v>
      </c>
      <c r="E61" s="408">
        <f aca="true" t="shared" si="29" ref="E61:U61">E26*$Y61/(IF(SUMPRODUCT(E$16:E$28,$Y$51:$Y$63)=0,1,SUMPRODUCT(E$16:E$28,$Y$51:$Y$63)))</f>
        <v>0.00024412126402255708</v>
      </c>
      <c r="F61" s="408">
        <f t="shared" si="29"/>
        <v>0.00024412126402255708</v>
      </c>
      <c r="G61" s="408">
        <f t="shared" si="29"/>
        <v>0.00029361901564574095</v>
      </c>
      <c r="H61" s="408">
        <f t="shared" si="29"/>
        <v>0.0008991977084432</v>
      </c>
      <c r="I61" s="408">
        <f t="shared" si="29"/>
        <v>0</v>
      </c>
      <c r="J61" s="408">
        <f t="shared" si="29"/>
        <v>0.3570070208955701</v>
      </c>
      <c r="K61" s="408">
        <f t="shared" si="29"/>
        <v>0.0004916165037686584</v>
      </c>
      <c r="L61" s="408">
        <f t="shared" si="29"/>
        <v>0</v>
      </c>
      <c r="M61" s="408">
        <f t="shared" si="29"/>
        <v>0.0004123133423289683</v>
      </c>
      <c r="N61" s="408">
        <f t="shared" si="29"/>
        <v>0.0004123133423289683</v>
      </c>
      <c r="O61" s="408">
        <f t="shared" si="29"/>
        <v>0.00025766643724627855</v>
      </c>
      <c r="P61" s="408">
        <f t="shared" si="29"/>
        <v>0.00025766643724627855</v>
      </c>
      <c r="Q61" s="408">
        <f t="shared" si="29"/>
        <v>0</v>
      </c>
      <c r="R61" s="408">
        <f t="shared" si="29"/>
        <v>0.0007468087014703955</v>
      </c>
      <c r="S61" s="408">
        <f t="shared" si="29"/>
        <v>0</v>
      </c>
      <c r="T61" s="408">
        <f t="shared" si="29"/>
        <v>0.3570070208955701</v>
      </c>
      <c r="U61" s="408">
        <f t="shared" si="29"/>
        <v>0.3570070208955702</v>
      </c>
      <c r="V61" s="408">
        <f t="shared" si="19"/>
        <v>0</v>
      </c>
      <c r="W61" s="408">
        <f t="shared" si="19"/>
        <v>0</v>
      </c>
      <c r="Y61" s="344">
        <f>'6.Network Design'!H47</f>
        <v>11.989531643822843</v>
      </c>
      <c r="Z61" s="226"/>
      <c r="AA61" s="104"/>
      <c r="AB61" s="104"/>
      <c r="AC61" s="104"/>
      <c r="AD61" s="104"/>
      <c r="AE61" s="104"/>
    </row>
    <row r="62" spans="1:31" ht="12.75" outlineLevel="1">
      <c r="A62" s="83"/>
      <c r="B62" s="85"/>
      <c r="C62" s="291" t="str">
        <f>'C. Masterfiles'!C95</f>
        <v>S12</v>
      </c>
      <c r="D62" s="291" t="str">
        <f>'C. Masterfiles'!D95</f>
        <v>Internet dial-up calls</v>
      </c>
      <c r="E62" s="408">
        <f aca="true" t="shared" si="30" ref="E62:U62">E27*$Y62/(IF(SUMPRODUCT(E$16:E$28,$Y$51:$Y$63)=0,1,SUMPRODUCT(E$16:E$28,$Y$51:$Y$63)))</f>
        <v>0.03336931314329697</v>
      </c>
      <c r="F62" s="408">
        <f t="shared" si="30"/>
        <v>0.03336931314329697</v>
      </c>
      <c r="G62" s="408">
        <f t="shared" si="30"/>
        <v>0.04013523736713082</v>
      </c>
      <c r="H62" s="408">
        <f t="shared" si="30"/>
        <v>0.12291272548877034</v>
      </c>
      <c r="I62" s="408">
        <f t="shared" si="30"/>
        <v>0</v>
      </c>
      <c r="J62" s="408">
        <f t="shared" si="30"/>
        <v>0</v>
      </c>
      <c r="K62" s="408">
        <f t="shared" si="30"/>
        <v>0.06719982024652045</v>
      </c>
      <c r="L62" s="408">
        <f t="shared" si="30"/>
        <v>0</v>
      </c>
      <c r="M62" s="408">
        <f t="shared" si="30"/>
        <v>0.05635974845707596</v>
      </c>
      <c r="N62" s="408">
        <f t="shared" si="30"/>
        <v>0.05635974845707596</v>
      </c>
      <c r="O62" s="408">
        <f t="shared" si="30"/>
        <v>0.035220823820551195</v>
      </c>
      <c r="P62" s="408">
        <f t="shared" si="30"/>
        <v>0.035220823820551195</v>
      </c>
      <c r="Q62" s="408">
        <f t="shared" si="30"/>
        <v>0</v>
      </c>
      <c r="R62" s="408">
        <f t="shared" si="30"/>
        <v>0.10208243643700751</v>
      </c>
      <c r="S62" s="408">
        <f t="shared" si="30"/>
        <v>0</v>
      </c>
      <c r="T62" s="408">
        <f t="shared" si="30"/>
        <v>0</v>
      </c>
      <c r="U62" s="408">
        <f t="shared" si="30"/>
        <v>0</v>
      </c>
      <c r="V62" s="408">
        <f t="shared" si="19"/>
        <v>0</v>
      </c>
      <c r="W62" s="408">
        <f t="shared" si="19"/>
        <v>0</v>
      </c>
      <c r="Y62" s="344">
        <f>'6.Network Design'!H48</f>
        <v>1638.8676237037034</v>
      </c>
      <c r="Z62" s="226"/>
      <c r="AA62" s="104"/>
      <c r="AB62" s="104"/>
      <c r="AC62" s="104"/>
      <c r="AD62" s="104"/>
      <c r="AE62" s="104"/>
    </row>
    <row r="63" spans="1:31" ht="12.75" outlineLevel="1">
      <c r="A63" s="83"/>
      <c r="B63" s="85"/>
      <c r="C63" s="291" t="str">
        <f>'C. Masterfiles'!C96</f>
        <v>End</v>
      </c>
      <c r="D63" s="90" t="s">
        <v>635</v>
      </c>
      <c r="E63" s="378">
        <f aca="true" t="shared" si="31" ref="E63:U63">SUM(E51:E62)</f>
        <v>1.0000000000000002</v>
      </c>
      <c r="F63" s="378">
        <f t="shared" si="31"/>
        <v>1.0000000000000002</v>
      </c>
      <c r="G63" s="378">
        <f t="shared" si="31"/>
        <v>1.0000000000000004</v>
      </c>
      <c r="H63" s="378">
        <f t="shared" si="31"/>
        <v>0.9999999999999999</v>
      </c>
      <c r="I63" s="378">
        <f t="shared" si="31"/>
        <v>1</v>
      </c>
      <c r="J63" s="378">
        <f t="shared" si="31"/>
        <v>0.9999999999999999</v>
      </c>
      <c r="K63" s="378">
        <f t="shared" si="31"/>
        <v>1</v>
      </c>
      <c r="L63" s="378">
        <f t="shared" si="31"/>
        <v>1</v>
      </c>
      <c r="M63" s="378">
        <f t="shared" si="31"/>
        <v>0.9999999999999999</v>
      </c>
      <c r="N63" s="378">
        <f t="shared" si="31"/>
        <v>0.9999999999999999</v>
      </c>
      <c r="O63" s="378">
        <f t="shared" si="31"/>
        <v>1.0000000000000002</v>
      </c>
      <c r="P63" s="378">
        <f t="shared" si="31"/>
        <v>1.0000000000000002</v>
      </c>
      <c r="Q63" s="378">
        <f t="shared" si="31"/>
        <v>1</v>
      </c>
      <c r="R63" s="378">
        <f t="shared" si="31"/>
        <v>1</v>
      </c>
      <c r="S63" s="378">
        <f t="shared" si="31"/>
        <v>1</v>
      </c>
      <c r="T63" s="378">
        <f t="shared" si="31"/>
        <v>0.9999999999999999</v>
      </c>
      <c r="U63" s="378">
        <f t="shared" si="31"/>
        <v>1</v>
      </c>
      <c r="V63" s="378">
        <f>SUM(V51:V62)</f>
        <v>1</v>
      </c>
      <c r="W63" s="378">
        <f>SUM(W51:W62)</f>
        <v>1</v>
      </c>
      <c r="Y63" s="232">
        <f>SUM(Y51:Y62)</f>
        <v>29078.68946490913</v>
      </c>
      <c r="Z63" s="228" t="str">
        <f>IF(Y63='6.Network Design'!H$52,"Ok","Not Ok")</f>
        <v>Ok</v>
      </c>
      <c r="AA63" s="104"/>
      <c r="AB63" s="104"/>
      <c r="AC63" s="104"/>
      <c r="AD63" s="104"/>
      <c r="AE63" s="104"/>
    </row>
    <row r="64" ht="12.75">
      <c r="Y64" s="226"/>
    </row>
    <row r="65" ht="12.75">
      <c r="Y65" s="226"/>
    </row>
    <row r="66" ht="12.75">
      <c r="Y66" s="226"/>
    </row>
    <row r="67" ht="12.75">
      <c r="Y67" s="226">
        <f>C68</f>
        <v>2010</v>
      </c>
    </row>
    <row r="68" spans="1:31" ht="39.75">
      <c r="A68" s="83"/>
      <c r="B68" s="85"/>
      <c r="C68" s="338">
        <f>'C. Masterfiles'!D$103</f>
        <v>2010</v>
      </c>
      <c r="D68" s="90" t="s">
        <v>686</v>
      </c>
      <c r="E68" s="376" t="str">
        <f aca="true" t="shared" si="32" ref="E68:U68">E50</f>
        <v>RAU</v>
      </c>
      <c r="F68" s="376" t="str">
        <f t="shared" si="32"/>
        <v>LS</v>
      </c>
      <c r="G68" s="376" t="str">
        <f t="shared" si="32"/>
        <v>TS</v>
      </c>
      <c r="H68" s="376" t="str">
        <f t="shared" si="32"/>
        <v>ISC</v>
      </c>
      <c r="I68" s="376" t="str">
        <f t="shared" si="32"/>
        <v>IGW</v>
      </c>
      <c r="J68" s="376" t="str">
        <f t="shared" si="32"/>
        <v>IN</v>
      </c>
      <c r="K68" s="376" t="str">
        <f t="shared" si="32"/>
        <v>RBIL</v>
      </c>
      <c r="L68" s="376" t="str">
        <f t="shared" si="32"/>
        <v>IBIL</v>
      </c>
      <c r="M68" s="376" t="str">
        <f t="shared" si="32"/>
        <v>NMS</v>
      </c>
      <c r="N68" s="376" t="str">
        <f t="shared" si="32"/>
        <v>OSS</v>
      </c>
      <c r="O68" s="376" t="str">
        <f t="shared" si="32"/>
        <v>Rau-TS</v>
      </c>
      <c r="P68" s="376" t="str">
        <f t="shared" si="32"/>
        <v>LS-TS</v>
      </c>
      <c r="Q68" s="376" t="str">
        <f t="shared" si="32"/>
        <v>TS-TS</v>
      </c>
      <c r="R68" s="376" t="str">
        <f t="shared" si="32"/>
        <v>TS-ISC</v>
      </c>
      <c r="S68" s="376" t="str">
        <f t="shared" si="32"/>
        <v>ISC-ISC</v>
      </c>
      <c r="T68" s="376" t="str">
        <f t="shared" si="32"/>
        <v>ISC-IN</v>
      </c>
      <c r="U68" s="376" t="str">
        <f t="shared" si="32"/>
        <v>TS-IN</v>
      </c>
      <c r="V68" s="376" t="str">
        <f>V50</f>
        <v>TS-IGW</v>
      </c>
      <c r="W68" s="376" t="str">
        <f>W50</f>
        <v>LS-LS</v>
      </c>
      <c r="Y68" s="227" t="s">
        <v>573</v>
      </c>
      <c r="AA68" s="83"/>
      <c r="AB68" s="83"/>
      <c r="AC68" s="83"/>
      <c r="AD68" s="83"/>
      <c r="AE68" s="83"/>
    </row>
    <row r="69" spans="1:31" ht="12.75">
      <c r="A69" s="83"/>
      <c r="B69" s="85"/>
      <c r="C69" s="291" t="str">
        <f>'C. Masterfiles'!C84</f>
        <v>S01</v>
      </c>
      <c r="D69" s="291" t="str">
        <f>'C. Masterfiles'!D84</f>
        <v>On-net local calls</v>
      </c>
      <c r="E69" s="408">
        <f aca="true" t="shared" si="33" ref="E69:U69">E16*$Y69/(IF(SUMPRODUCT(E$16:E$28,$Y$69:$Y$81)=0,1,SUMPRODUCT(E$16:E$28,$Y$69:$Y$81)))</f>
        <v>0.7692666859972598</v>
      </c>
      <c r="F69" s="408">
        <f t="shared" si="33"/>
        <v>0.7692666859972598</v>
      </c>
      <c r="G69" s="408">
        <f t="shared" si="33"/>
        <v>0.6948565977416867</v>
      </c>
      <c r="H69" s="408">
        <f t="shared" si="33"/>
        <v>0.29599922516069854</v>
      </c>
      <c r="I69" s="408">
        <f t="shared" si="33"/>
        <v>0</v>
      </c>
      <c r="J69" s="408">
        <f t="shared" si="33"/>
        <v>0</v>
      </c>
      <c r="K69" s="408">
        <f t="shared" si="33"/>
        <v>0.7974071055535719</v>
      </c>
      <c r="L69" s="408">
        <f t="shared" si="33"/>
        <v>0</v>
      </c>
      <c r="M69" s="408">
        <f t="shared" si="33"/>
        <v>0.655800802130395</v>
      </c>
      <c r="N69" s="408">
        <f t="shared" si="33"/>
        <v>0.655800802130395</v>
      </c>
      <c r="O69" s="408">
        <f t="shared" si="33"/>
        <v>0.8110257057001116</v>
      </c>
      <c r="P69" s="408">
        <f t="shared" si="33"/>
        <v>0.8110257057001116</v>
      </c>
      <c r="Q69" s="408">
        <f t="shared" si="33"/>
        <v>1</v>
      </c>
      <c r="R69" s="408">
        <f t="shared" si="33"/>
        <v>0.2486792063650897</v>
      </c>
      <c r="S69" s="408">
        <f t="shared" si="33"/>
        <v>0</v>
      </c>
      <c r="T69" s="408">
        <f t="shared" si="33"/>
        <v>0</v>
      </c>
      <c r="U69" s="408">
        <f t="shared" si="33"/>
        <v>0</v>
      </c>
      <c r="V69" s="408">
        <f aca="true" t="shared" si="34" ref="V69:W80">V16*$Y69/(IF(SUMPRODUCT(V$16:V$28,$Y$69:$Y$81)=0,1,SUMPRODUCT(V$16:V$28,$Y$69:$Y$81)))</f>
        <v>0</v>
      </c>
      <c r="W69" s="408">
        <f t="shared" si="34"/>
        <v>1</v>
      </c>
      <c r="Y69" s="344">
        <f>'6.Network Design'!I37</f>
        <v>17909.333333333332</v>
      </c>
      <c r="Z69" s="226"/>
      <c r="AA69" s="104"/>
      <c r="AB69" s="104"/>
      <c r="AC69" s="104"/>
      <c r="AD69" s="104"/>
      <c r="AE69" s="104"/>
    </row>
    <row r="70" spans="1:31" ht="12.75" outlineLevel="1">
      <c r="A70" s="83"/>
      <c r="B70" s="85"/>
      <c r="C70" s="291" t="str">
        <f>'C. Masterfiles'!C85</f>
        <v>S02</v>
      </c>
      <c r="D70" s="291" t="str">
        <f>'C. Masterfiles'!D85</f>
        <v>On-net national calls</v>
      </c>
      <c r="E70" s="408">
        <f aca="true" t="shared" si="35" ref="E70:U70">E17*$Y70/(IF(SUMPRODUCT(E$16:E$28,$Y$69:$Y$81)=0,1,SUMPRODUCT(E$16:E$28,$Y$69:$Y$81)))</f>
        <v>0.10297828887384919</v>
      </c>
      <c r="F70" s="408">
        <f t="shared" si="35"/>
        <v>0.10297828887384919</v>
      </c>
      <c r="G70" s="408">
        <f t="shared" si="35"/>
        <v>0.124023124447635</v>
      </c>
      <c r="H70" s="408">
        <f t="shared" si="35"/>
        <v>0.11887227512855995</v>
      </c>
      <c r="I70" s="408">
        <f t="shared" si="35"/>
        <v>0</v>
      </c>
      <c r="J70" s="408">
        <f t="shared" si="35"/>
        <v>0</v>
      </c>
      <c r="K70" s="408">
        <f t="shared" si="35"/>
        <v>0.10674532091468754</v>
      </c>
      <c r="L70" s="408">
        <f t="shared" si="35"/>
        <v>0</v>
      </c>
      <c r="M70" s="408">
        <f t="shared" si="35"/>
        <v>0.08778911874746957</v>
      </c>
      <c r="N70" s="408">
        <f t="shared" si="35"/>
        <v>0.08778911874746957</v>
      </c>
      <c r="O70" s="408">
        <f t="shared" si="35"/>
        <v>0.054284190987311895</v>
      </c>
      <c r="P70" s="408">
        <f t="shared" si="35"/>
        <v>0.054284190987311895</v>
      </c>
      <c r="Q70" s="408">
        <f t="shared" si="35"/>
        <v>0</v>
      </c>
      <c r="R70" s="408">
        <f t="shared" si="35"/>
        <v>0.33289572545034113</v>
      </c>
      <c r="S70" s="408">
        <f t="shared" si="35"/>
        <v>0.3127213414550892</v>
      </c>
      <c r="T70" s="408">
        <f t="shared" si="35"/>
        <v>0</v>
      </c>
      <c r="U70" s="408">
        <f t="shared" si="35"/>
        <v>0</v>
      </c>
      <c r="V70" s="408">
        <f t="shared" si="34"/>
        <v>0</v>
      </c>
      <c r="W70" s="408">
        <f t="shared" si="34"/>
        <v>0</v>
      </c>
      <c r="Y70" s="344">
        <f>'6.Network Design'!I38</f>
        <v>2397.4423111111114</v>
      </c>
      <c r="Z70" s="226"/>
      <c r="AA70" s="104"/>
      <c r="AB70" s="104"/>
      <c r="AC70" s="104"/>
      <c r="AD70" s="104"/>
      <c r="AE70" s="104"/>
    </row>
    <row r="71" spans="1:31" ht="12.75" outlineLevel="1">
      <c r="A71" s="83"/>
      <c r="B71" s="85"/>
      <c r="C71" s="291" t="str">
        <f>'C. Masterfiles'!C86</f>
        <v>S03</v>
      </c>
      <c r="D71" s="291" t="str">
        <f>'C. Masterfiles'!D86</f>
        <v>Originating calls (local)</v>
      </c>
      <c r="E71" s="408">
        <f aca="true" t="shared" si="36" ref="E71:U71">E18*$Y71/(IF(SUMPRODUCT(E$16:E$28,$Y$69:$Y$81)=0,1,SUMPRODUCT(E$16:E$28,$Y$69:$Y$81)))</f>
        <v>0.009473726383058196</v>
      </c>
      <c r="F71" s="408">
        <f t="shared" si="36"/>
        <v>0.009473726383058196</v>
      </c>
      <c r="G71" s="408">
        <f t="shared" si="36"/>
        <v>0.011409794812460175</v>
      </c>
      <c r="H71" s="408">
        <f t="shared" si="36"/>
        <v>0</v>
      </c>
      <c r="I71" s="408">
        <f t="shared" si="36"/>
        <v>0.10049689214939407</v>
      </c>
      <c r="J71" s="408">
        <f t="shared" si="36"/>
        <v>0</v>
      </c>
      <c r="K71" s="408">
        <f t="shared" si="36"/>
        <v>0.019640566454863628</v>
      </c>
      <c r="L71" s="408">
        <f t="shared" si="36"/>
        <v>0</v>
      </c>
      <c r="M71" s="408">
        <f t="shared" si="36"/>
        <v>0.016152726939212814</v>
      </c>
      <c r="N71" s="408">
        <f t="shared" si="36"/>
        <v>0.016152726939212814</v>
      </c>
      <c r="O71" s="408">
        <f t="shared" si="36"/>
        <v>0.009987999955397663</v>
      </c>
      <c r="P71" s="408">
        <f t="shared" si="36"/>
        <v>0.009987999955397663</v>
      </c>
      <c r="Q71" s="408">
        <f t="shared" si="36"/>
        <v>0</v>
      </c>
      <c r="R71" s="408">
        <f t="shared" si="36"/>
        <v>0</v>
      </c>
      <c r="S71" s="408">
        <f t="shared" si="36"/>
        <v>0</v>
      </c>
      <c r="T71" s="408">
        <f t="shared" si="36"/>
        <v>0</v>
      </c>
      <c r="U71" s="408">
        <f t="shared" si="36"/>
        <v>0</v>
      </c>
      <c r="V71" s="408">
        <f t="shared" si="34"/>
        <v>0.21737302927246926</v>
      </c>
      <c r="W71" s="408">
        <f t="shared" si="34"/>
        <v>0</v>
      </c>
      <c r="Y71" s="344">
        <f>'6.Network Design'!I39</f>
        <v>441.1165251047618</v>
      </c>
      <c r="Z71" s="226"/>
      <c r="AA71" s="104"/>
      <c r="AB71" s="104"/>
      <c r="AC71" s="104"/>
      <c r="AD71" s="104"/>
      <c r="AE71" s="104"/>
    </row>
    <row r="72" spans="1:31" ht="12.75" outlineLevel="1">
      <c r="A72" s="83"/>
      <c r="B72" s="85"/>
      <c r="C72" s="291" t="str">
        <f>'C. Masterfiles'!C87</f>
        <v>S04</v>
      </c>
      <c r="D72" s="291" t="str">
        <f>'C. Masterfiles'!D87</f>
        <v>Originating calls (national) </v>
      </c>
      <c r="E72" s="408">
        <f aca="true" t="shared" si="37" ref="E72:U72">E19*$Y72/(IF(SUMPRODUCT(E$16:E$28,$Y$69:$Y$81)=0,1,SUMPRODUCT(E$16:E$28,$Y$69:$Y$81)))</f>
        <v>0.013317224171735706</v>
      </c>
      <c r="F72" s="408">
        <f t="shared" si="37"/>
        <v>0.013317224171735706</v>
      </c>
      <c r="G72" s="408">
        <f t="shared" si="37"/>
        <v>0.016038756992471807</v>
      </c>
      <c r="H72" s="408">
        <f t="shared" si="37"/>
        <v>0.05124215188150154</v>
      </c>
      <c r="I72" s="408">
        <f t="shared" si="37"/>
        <v>0.1412685554978209</v>
      </c>
      <c r="J72" s="408">
        <f t="shared" si="37"/>
        <v>0</v>
      </c>
      <c r="K72" s="408">
        <f t="shared" si="37"/>
        <v>0.027608758767514494</v>
      </c>
      <c r="L72" s="408">
        <f t="shared" si="37"/>
        <v>0</v>
      </c>
      <c r="M72" s="408">
        <f t="shared" si="37"/>
        <v>0.022705900185064482</v>
      </c>
      <c r="N72" s="408">
        <f t="shared" si="37"/>
        <v>0.022705900185064482</v>
      </c>
      <c r="O72" s="408">
        <f t="shared" si="37"/>
        <v>0.014040138912095053</v>
      </c>
      <c r="P72" s="408">
        <f t="shared" si="37"/>
        <v>0.014040138912095053</v>
      </c>
      <c r="Q72" s="408">
        <f t="shared" si="37"/>
        <v>0</v>
      </c>
      <c r="R72" s="408">
        <f t="shared" si="37"/>
        <v>0.043050307497977634</v>
      </c>
      <c r="S72" s="408">
        <f t="shared" si="37"/>
        <v>0</v>
      </c>
      <c r="T72" s="408">
        <f t="shared" si="37"/>
        <v>0</v>
      </c>
      <c r="U72" s="408">
        <f t="shared" si="37"/>
        <v>0</v>
      </c>
      <c r="V72" s="408">
        <f t="shared" si="34"/>
        <v>0</v>
      </c>
      <c r="W72" s="408">
        <f t="shared" si="34"/>
        <v>0</v>
      </c>
      <c r="Y72" s="344">
        <f>'6.Network Design'!I40</f>
        <v>620.077825044898</v>
      </c>
      <c r="Z72" s="226"/>
      <c r="AA72" s="104"/>
      <c r="AB72" s="104"/>
      <c r="AC72" s="104"/>
      <c r="AD72" s="104"/>
      <c r="AE72" s="104"/>
    </row>
    <row r="73" spans="1:31" ht="12.75" outlineLevel="1">
      <c r="A73" s="83"/>
      <c r="B73" s="85"/>
      <c r="C73" s="291" t="str">
        <f>'C. Masterfiles'!C88</f>
        <v>S05</v>
      </c>
      <c r="D73" s="291" t="str">
        <f>'C. Masterfiles'!D88</f>
        <v>Originating calls (international)</v>
      </c>
      <c r="E73" s="408">
        <f aca="true" t="shared" si="38" ref="E73:U73">E20*$Y73/(IF(SUMPRODUCT(E$16:E$28,$Y$69:$Y$81)=0,1,SUMPRODUCT(E$16:E$28,$Y$69:$Y$81)))</f>
        <v>0.011201237549450845</v>
      </c>
      <c r="F73" s="408">
        <f t="shared" si="38"/>
        <v>0.011201237549450845</v>
      </c>
      <c r="G73" s="408">
        <f t="shared" si="38"/>
        <v>0.013490343389419512</v>
      </c>
      <c r="H73" s="408">
        <f t="shared" si="38"/>
        <v>0.043100236833734165</v>
      </c>
      <c r="I73" s="408">
        <f t="shared" si="38"/>
        <v>0</v>
      </c>
      <c r="J73" s="408">
        <f t="shared" si="38"/>
        <v>0</v>
      </c>
      <c r="K73" s="408">
        <f t="shared" si="38"/>
        <v>0.023221976397811664</v>
      </c>
      <c r="L73" s="408">
        <f t="shared" si="38"/>
        <v>0</v>
      </c>
      <c r="M73" s="408">
        <f t="shared" si="38"/>
        <v>0.019098137755075306</v>
      </c>
      <c r="N73" s="408">
        <f t="shared" si="38"/>
        <v>0.019098137755075306</v>
      </c>
      <c r="O73" s="408">
        <f t="shared" si="38"/>
        <v>0.011809287667879484</v>
      </c>
      <c r="P73" s="408">
        <f t="shared" si="38"/>
        <v>0.011809287667879484</v>
      </c>
      <c r="Q73" s="408">
        <f t="shared" si="38"/>
        <v>0</v>
      </c>
      <c r="R73" s="408">
        <f t="shared" si="38"/>
        <v>0.036210002523288785</v>
      </c>
      <c r="S73" s="408">
        <f t="shared" si="38"/>
        <v>0</v>
      </c>
      <c r="T73" s="408">
        <f t="shared" si="38"/>
        <v>0</v>
      </c>
      <c r="U73" s="408">
        <f t="shared" si="38"/>
        <v>0</v>
      </c>
      <c r="V73" s="408">
        <f t="shared" si="34"/>
        <v>0</v>
      </c>
      <c r="W73" s="408">
        <f t="shared" si="34"/>
        <v>0</v>
      </c>
      <c r="Y73" s="344">
        <f>'6.Network Design'!I41</f>
        <v>521.55306</v>
      </c>
      <c r="Z73" s="226"/>
      <c r="AA73" s="104"/>
      <c r="AB73" s="104"/>
      <c r="AC73" s="104"/>
      <c r="AD73" s="104"/>
      <c r="AE73" s="104"/>
    </row>
    <row r="74" spans="1:31" ht="12.75" outlineLevel="1">
      <c r="A74" s="83"/>
      <c r="B74" s="85"/>
      <c r="C74" s="291" t="str">
        <f>'C. Masterfiles'!C89</f>
        <v>S06</v>
      </c>
      <c r="D74" s="291" t="str">
        <f>'C. Masterfiles'!D89</f>
        <v>Terminating calls (local)</v>
      </c>
      <c r="E74" s="408">
        <f aca="true" t="shared" si="39" ref="E74:U74">E21*$Y74/(IF(SUMPRODUCT(E$16:E$28,$Y$69:$Y$81)=0,1,SUMPRODUCT(E$16:E$28,$Y$69:$Y$81)))</f>
        <v>0.01147717911529532</v>
      </c>
      <c r="F74" s="408">
        <f t="shared" si="39"/>
        <v>0.01147717911529532</v>
      </c>
      <c r="G74" s="408">
        <f t="shared" si="39"/>
        <v>0.013822676889376273</v>
      </c>
      <c r="H74" s="408">
        <f t="shared" si="39"/>
        <v>0</v>
      </c>
      <c r="I74" s="408">
        <f t="shared" si="39"/>
        <v>0.12174943470942615</v>
      </c>
      <c r="J74" s="408">
        <f t="shared" si="39"/>
        <v>0</v>
      </c>
      <c r="K74" s="408">
        <f t="shared" si="39"/>
        <v>0</v>
      </c>
      <c r="L74" s="408">
        <f t="shared" si="39"/>
        <v>0.11019393421191297</v>
      </c>
      <c r="M74" s="408">
        <f t="shared" si="39"/>
        <v>0.019568618808046757</v>
      </c>
      <c r="N74" s="408">
        <f t="shared" si="39"/>
        <v>0.019568618808046757</v>
      </c>
      <c r="O74" s="408">
        <f t="shared" si="39"/>
        <v>0.0121002084983856</v>
      </c>
      <c r="P74" s="408">
        <f t="shared" si="39"/>
        <v>0.0121002084983856</v>
      </c>
      <c r="Q74" s="408">
        <f t="shared" si="39"/>
        <v>0</v>
      </c>
      <c r="R74" s="408">
        <f t="shared" si="39"/>
        <v>0</v>
      </c>
      <c r="S74" s="408">
        <f t="shared" si="39"/>
        <v>0</v>
      </c>
      <c r="T74" s="408">
        <f t="shared" si="39"/>
        <v>0</v>
      </c>
      <c r="U74" s="408">
        <f t="shared" si="39"/>
        <v>0</v>
      </c>
      <c r="V74" s="408">
        <f t="shared" si="34"/>
        <v>0.26334190907771515</v>
      </c>
      <c r="W74" s="408">
        <f t="shared" si="34"/>
        <v>0</v>
      </c>
      <c r="Y74" s="344">
        <f>'6.Network Design'!I42</f>
        <v>534.4014767407407</v>
      </c>
      <c r="Z74" s="226"/>
      <c r="AA74" s="104"/>
      <c r="AB74" s="104"/>
      <c r="AC74" s="104"/>
      <c r="AD74" s="104"/>
      <c r="AE74" s="104"/>
    </row>
    <row r="75" spans="1:31" ht="12.75" outlineLevel="1">
      <c r="A75" s="83"/>
      <c r="B75" s="85"/>
      <c r="C75" s="291" t="str">
        <f>'C. Masterfiles'!C90</f>
        <v>S07</v>
      </c>
      <c r="D75" s="291" t="str">
        <f>'C. Masterfiles'!D90</f>
        <v>Terminating calls (national) </v>
      </c>
      <c r="E75" s="408">
        <f aca="true" t="shared" si="40" ref="E75:U75">E22*$Y75/(IF(SUMPRODUCT(E$16:E$28,$Y$69:$Y$81)=0,1,SUMPRODUCT(E$16:E$28,$Y$69:$Y$81)))</f>
        <v>0.014736920314226451</v>
      </c>
      <c r="F75" s="408">
        <f t="shared" si="40"/>
        <v>0.014736920314226451</v>
      </c>
      <c r="G75" s="408">
        <f t="shared" si="40"/>
        <v>0.01774858489195898</v>
      </c>
      <c r="H75" s="408">
        <f t="shared" si="40"/>
        <v>0.05670487327305793</v>
      </c>
      <c r="I75" s="408">
        <f t="shared" si="40"/>
        <v>0.15632863263620522</v>
      </c>
      <c r="J75" s="408">
        <f t="shared" si="40"/>
        <v>0</v>
      </c>
      <c r="K75" s="408">
        <f t="shared" si="40"/>
        <v>0</v>
      </c>
      <c r="L75" s="408">
        <f t="shared" si="40"/>
        <v>0.1414911461500083</v>
      </c>
      <c r="M75" s="408">
        <f t="shared" si="40"/>
        <v>0.02512648562305178</v>
      </c>
      <c r="N75" s="408">
        <f t="shared" si="40"/>
        <v>0.02512648562305178</v>
      </c>
      <c r="O75" s="408">
        <f t="shared" si="40"/>
        <v>0.015536902111128716</v>
      </c>
      <c r="P75" s="408">
        <f t="shared" si="40"/>
        <v>0.015536902111128716</v>
      </c>
      <c r="Q75" s="408">
        <f t="shared" si="40"/>
        <v>0</v>
      </c>
      <c r="R75" s="408">
        <f t="shared" si="40"/>
        <v>0.04763972903956555</v>
      </c>
      <c r="S75" s="408">
        <f t="shared" si="40"/>
        <v>0</v>
      </c>
      <c r="T75" s="408">
        <f t="shared" si="40"/>
        <v>0</v>
      </c>
      <c r="U75" s="408">
        <f t="shared" si="40"/>
        <v>0</v>
      </c>
      <c r="V75" s="408">
        <f t="shared" si="34"/>
        <v>0</v>
      </c>
      <c r="W75" s="408">
        <f t="shared" si="34"/>
        <v>0</v>
      </c>
      <c r="Y75" s="344">
        <f>'6.Network Design'!I43</f>
        <v>686.1818482938777</v>
      </c>
      <c r="Z75" s="226"/>
      <c r="AA75" s="104"/>
      <c r="AB75" s="104"/>
      <c r="AC75" s="104"/>
      <c r="AD75" s="104"/>
      <c r="AE75" s="104"/>
    </row>
    <row r="76" spans="1:31" ht="12.75" outlineLevel="1">
      <c r="A76" s="83"/>
      <c r="B76" s="85"/>
      <c r="C76" s="291" t="str">
        <f>'C. Masterfiles'!C91</f>
        <v>S08</v>
      </c>
      <c r="D76" s="291" t="str">
        <f>'C. Masterfiles'!D91</f>
        <v>Terminating calls (international)</v>
      </c>
      <c r="E76" s="408">
        <f aca="true" t="shared" si="41" ref="E76:U76">E23*$Y76/(IF(SUMPRODUCT(E$16:E$28,$Y$69:$Y$81)=0,1,SUMPRODUCT(E$16:E$28,$Y$69:$Y$81)))</f>
        <v>0.05530836472886276</v>
      </c>
      <c r="F76" s="408">
        <f t="shared" si="41"/>
        <v>0.05530836472886276</v>
      </c>
      <c r="G76" s="408">
        <f t="shared" si="41"/>
        <v>0.06661128551248312</v>
      </c>
      <c r="H76" s="408">
        <f t="shared" si="41"/>
        <v>0.2128160935947121</v>
      </c>
      <c r="I76" s="408">
        <f t="shared" si="41"/>
        <v>0</v>
      </c>
      <c r="J76" s="408">
        <f t="shared" si="41"/>
        <v>0</v>
      </c>
      <c r="K76" s="408">
        <f t="shared" si="41"/>
        <v>0</v>
      </c>
      <c r="L76" s="408">
        <f t="shared" si="41"/>
        <v>0.5310230190777996</v>
      </c>
      <c r="M76" s="408">
        <f t="shared" si="41"/>
        <v>0.09430089880127175</v>
      </c>
      <c r="N76" s="408">
        <f t="shared" si="41"/>
        <v>0.09430089880127175</v>
      </c>
      <c r="O76" s="408">
        <f t="shared" si="41"/>
        <v>0.058310734563000254</v>
      </c>
      <c r="P76" s="408">
        <f t="shared" si="41"/>
        <v>0.058310734563000254</v>
      </c>
      <c r="Q76" s="408">
        <f t="shared" si="41"/>
        <v>0</v>
      </c>
      <c r="R76" s="408">
        <f t="shared" si="41"/>
        <v>0.17879417497839628</v>
      </c>
      <c r="S76" s="408">
        <f t="shared" si="41"/>
        <v>0</v>
      </c>
      <c r="T76" s="408">
        <f t="shared" si="41"/>
        <v>0</v>
      </c>
      <c r="U76" s="408">
        <f t="shared" si="41"/>
        <v>0</v>
      </c>
      <c r="V76" s="408">
        <f t="shared" si="34"/>
        <v>0</v>
      </c>
      <c r="W76" s="408">
        <f t="shared" si="34"/>
        <v>0</v>
      </c>
      <c r="Y76" s="344">
        <f>'6.Network Design'!I44</f>
        <v>2575.2732000000005</v>
      </c>
      <c r="Z76" s="226"/>
      <c r="AA76" s="104"/>
      <c r="AB76" s="104"/>
      <c r="AC76" s="104"/>
      <c r="AD76" s="104"/>
      <c r="AE76" s="104"/>
    </row>
    <row r="77" spans="1:31" ht="12.75" outlineLevel="1">
      <c r="A77" s="83"/>
      <c r="B77" s="85"/>
      <c r="C77" s="291" t="str">
        <f>'C. Masterfiles'!C92</f>
        <v>S09</v>
      </c>
      <c r="D77" s="291" t="str">
        <f>'C. Masterfiles'!D92</f>
        <v>Transit calls</v>
      </c>
      <c r="E77" s="408">
        <f aca="true" t="shared" si="42" ref="E77:U77">E24*$Y77/(IF(SUMPRODUCT(E$16:E$28,$Y$69:$Y$81)=0,1,SUMPRODUCT(E$16:E$28,$Y$69:$Y$81)))</f>
        <v>0</v>
      </c>
      <c r="F77" s="408">
        <f t="shared" si="42"/>
        <v>0</v>
      </c>
      <c r="G77" s="408">
        <f t="shared" si="42"/>
        <v>0.027256996980860187</v>
      </c>
      <c r="H77" s="408">
        <f t="shared" si="42"/>
        <v>0.1741665117543019</v>
      </c>
      <c r="I77" s="408">
        <f t="shared" si="42"/>
        <v>0.48015648500715347</v>
      </c>
      <c r="J77" s="408">
        <f t="shared" si="42"/>
        <v>0</v>
      </c>
      <c r="K77" s="408">
        <f t="shared" si="42"/>
        <v>0</v>
      </c>
      <c r="L77" s="408">
        <f t="shared" si="42"/>
        <v>0.21729190056027914</v>
      </c>
      <c r="M77" s="408">
        <f t="shared" si="42"/>
        <v>0.038587444967369294</v>
      </c>
      <c r="N77" s="408">
        <f t="shared" si="42"/>
        <v>0.038587444967369294</v>
      </c>
      <c r="O77" s="408">
        <f t="shared" si="42"/>
        <v>0</v>
      </c>
      <c r="P77" s="408">
        <f t="shared" si="42"/>
        <v>0</v>
      </c>
      <c r="Q77" s="408">
        <f t="shared" si="42"/>
        <v>0</v>
      </c>
      <c r="R77" s="408">
        <f t="shared" si="42"/>
        <v>0.07316166097212234</v>
      </c>
      <c r="S77" s="408">
        <f t="shared" si="42"/>
        <v>0.6872786585449109</v>
      </c>
      <c r="T77" s="408">
        <f t="shared" si="42"/>
        <v>0</v>
      </c>
      <c r="U77" s="408">
        <f t="shared" si="42"/>
        <v>0</v>
      </c>
      <c r="V77" s="408">
        <f t="shared" si="34"/>
        <v>0.5192850616498156</v>
      </c>
      <c r="W77" s="408">
        <f t="shared" si="34"/>
        <v>0</v>
      </c>
      <c r="Y77" s="344">
        <f>'6.Network Design'!I45</f>
        <v>1053.788608</v>
      </c>
      <c r="Z77" s="226"/>
      <c r="AA77" s="104"/>
      <c r="AB77" s="104"/>
      <c r="AC77" s="104"/>
      <c r="AD77" s="104"/>
      <c r="AE77" s="104"/>
    </row>
    <row r="78" spans="1:31" ht="12.75" outlineLevel="1">
      <c r="A78" s="83"/>
      <c r="B78" s="85"/>
      <c r="C78" s="291" t="str">
        <f>'C. Masterfiles'!C93</f>
        <v>S10</v>
      </c>
      <c r="D78" s="291" t="str">
        <f>'C. Masterfiles'!D93</f>
        <v>Calls to directory enquiries, emergency &amp; helpdesk</v>
      </c>
      <c r="E78" s="408">
        <f aca="true" t="shared" si="43" ref="E78:U78">E25*$Y78/(IF(SUMPRODUCT(E$16:E$28,$Y$69:$Y$81)=0,1,SUMPRODUCT(E$16:E$28,$Y$69:$Y$81)))</f>
        <v>0.0004776942889118111</v>
      </c>
      <c r="F78" s="408">
        <f t="shared" si="43"/>
        <v>0.0004776942889118111</v>
      </c>
      <c r="G78" s="408">
        <f t="shared" si="43"/>
        <v>0.0005753167865724661</v>
      </c>
      <c r="H78" s="408">
        <f t="shared" si="43"/>
        <v>0.0018380769888440302</v>
      </c>
      <c r="I78" s="408">
        <f t="shared" si="43"/>
        <v>0</v>
      </c>
      <c r="J78" s="408">
        <f t="shared" si="43"/>
        <v>0.7097466278493454</v>
      </c>
      <c r="K78" s="408">
        <f t="shared" si="43"/>
        <v>0.0009903374920410784</v>
      </c>
      <c r="L78" s="408">
        <f t="shared" si="43"/>
        <v>0</v>
      </c>
      <c r="M78" s="408">
        <f t="shared" si="43"/>
        <v>0.0008144699453229417</v>
      </c>
      <c r="N78" s="408">
        <f t="shared" si="43"/>
        <v>0.0008144699453229417</v>
      </c>
      <c r="O78" s="408">
        <f t="shared" si="43"/>
        <v>0.000503625536924648</v>
      </c>
      <c r="P78" s="408">
        <f t="shared" si="43"/>
        <v>0.000503625536924648</v>
      </c>
      <c r="Q78" s="408">
        <f t="shared" si="43"/>
        <v>0</v>
      </c>
      <c r="R78" s="408">
        <f t="shared" si="43"/>
        <v>0.001544232173498128</v>
      </c>
      <c r="S78" s="408">
        <f t="shared" si="43"/>
        <v>0</v>
      </c>
      <c r="T78" s="408">
        <f t="shared" si="43"/>
        <v>0.7097466278493454</v>
      </c>
      <c r="U78" s="408">
        <f t="shared" si="43"/>
        <v>0.7097466278493454</v>
      </c>
      <c r="V78" s="408">
        <f t="shared" si="34"/>
        <v>0</v>
      </c>
      <c r="W78" s="408">
        <f t="shared" si="34"/>
        <v>0</v>
      </c>
      <c r="Y78" s="344">
        <f>'6.Network Design'!I46</f>
        <v>22.24244571428571</v>
      </c>
      <c r="Z78" s="226"/>
      <c r="AA78" s="104"/>
      <c r="AB78" s="104"/>
      <c r="AC78" s="104"/>
      <c r="AD78" s="104"/>
      <c r="AE78" s="104"/>
    </row>
    <row r="79" spans="1:31" ht="12.75" outlineLevel="1">
      <c r="A79" s="83"/>
      <c r="B79" s="85"/>
      <c r="C79" s="291" t="str">
        <f>'C. Masterfiles'!C94</f>
        <v>S11</v>
      </c>
      <c r="D79" s="291" t="str">
        <f>'C. Masterfiles'!D94</f>
        <v>Calls to non-geographic numbers</v>
      </c>
      <c r="E79" s="408">
        <f aca="true" t="shared" si="44" ref="E79:U79">E26*$Y79/(IF(SUMPRODUCT(E$16:E$28,$Y$69:$Y$81)=0,1,SUMPRODUCT(E$16:E$28,$Y$69:$Y$81)))</f>
        <v>0.00019535475446202938</v>
      </c>
      <c r="F79" s="408">
        <f t="shared" si="44"/>
        <v>0.00019535475446202938</v>
      </c>
      <c r="G79" s="408">
        <f t="shared" si="44"/>
        <v>0.00023527781718884393</v>
      </c>
      <c r="H79" s="408">
        <f t="shared" si="44"/>
        <v>0.0007516880297143816</v>
      </c>
      <c r="I79" s="408">
        <f t="shared" si="44"/>
        <v>0</v>
      </c>
      <c r="J79" s="408">
        <f t="shared" si="44"/>
        <v>0.2902533721506546</v>
      </c>
      <c r="K79" s="408">
        <f t="shared" si="44"/>
        <v>0.00040500198993993736</v>
      </c>
      <c r="L79" s="408">
        <f t="shared" si="44"/>
        <v>0</v>
      </c>
      <c r="M79" s="408">
        <f t="shared" si="44"/>
        <v>0.0003330803400386471</v>
      </c>
      <c r="N79" s="408">
        <f t="shared" si="44"/>
        <v>0.0003330803400386471</v>
      </c>
      <c r="O79" s="408">
        <f t="shared" si="44"/>
        <v>0.0002059594292635256</v>
      </c>
      <c r="P79" s="408">
        <f t="shared" si="44"/>
        <v>0.0002059594292635256</v>
      </c>
      <c r="Q79" s="408">
        <f t="shared" si="44"/>
        <v>0</v>
      </c>
      <c r="R79" s="408">
        <f t="shared" si="44"/>
        <v>0.000631519162126273</v>
      </c>
      <c r="S79" s="408">
        <f t="shared" si="44"/>
        <v>0</v>
      </c>
      <c r="T79" s="408">
        <f t="shared" si="44"/>
        <v>0.2902533721506546</v>
      </c>
      <c r="U79" s="408">
        <f t="shared" si="44"/>
        <v>0.29025337215065455</v>
      </c>
      <c r="V79" s="408">
        <f t="shared" si="34"/>
        <v>0</v>
      </c>
      <c r="W79" s="408">
        <f t="shared" si="34"/>
        <v>0</v>
      </c>
      <c r="Y79" s="344">
        <f>'6.Network Design'!I47</f>
        <v>9.096126166899769</v>
      </c>
      <c r="Z79" s="226"/>
      <c r="AA79" s="104"/>
      <c r="AB79" s="104"/>
      <c r="AC79" s="104"/>
      <c r="AD79" s="104"/>
      <c r="AE79" s="104"/>
    </row>
    <row r="80" spans="1:31" ht="12.75" outlineLevel="1">
      <c r="A80" s="83"/>
      <c r="B80" s="85"/>
      <c r="C80" s="291" t="str">
        <f>'C. Masterfiles'!C95</f>
        <v>S12</v>
      </c>
      <c r="D80" s="291" t="str">
        <f>'C. Masterfiles'!D95</f>
        <v>Internet dial-up calls</v>
      </c>
      <c r="E80" s="408">
        <f aca="true" t="shared" si="45" ref="E80:U80">E27*$Y80/(IF(SUMPRODUCT(E$16:E$28,$Y$69:$Y$81)=0,1,SUMPRODUCT(E$16:E$28,$Y$69:$Y$81)))</f>
        <v>0.011567323822887778</v>
      </c>
      <c r="F80" s="408">
        <f t="shared" si="45"/>
        <v>0.011567323822887778</v>
      </c>
      <c r="G80" s="408">
        <f t="shared" si="45"/>
        <v>0.013931243737886746</v>
      </c>
      <c r="H80" s="408">
        <f t="shared" si="45"/>
        <v>0.04450886735487551</v>
      </c>
      <c r="I80" s="408">
        <f t="shared" si="45"/>
        <v>0</v>
      </c>
      <c r="J80" s="408">
        <f t="shared" si="45"/>
        <v>0</v>
      </c>
      <c r="K80" s="408">
        <f t="shared" si="45"/>
        <v>0.023980932429570143</v>
      </c>
      <c r="L80" s="408">
        <f t="shared" si="45"/>
        <v>0</v>
      </c>
      <c r="M80" s="408">
        <f t="shared" si="45"/>
        <v>0.019722315757682123</v>
      </c>
      <c r="N80" s="408">
        <f t="shared" si="45"/>
        <v>0.019722315757682123</v>
      </c>
      <c r="O80" s="408">
        <f t="shared" si="45"/>
        <v>0.0121952466385015</v>
      </c>
      <c r="P80" s="408">
        <f t="shared" si="45"/>
        <v>0.0121952466385015</v>
      </c>
      <c r="Q80" s="408">
        <f t="shared" si="45"/>
        <v>0</v>
      </c>
      <c r="R80" s="408">
        <f t="shared" si="45"/>
        <v>0.03739344183759407</v>
      </c>
      <c r="S80" s="408">
        <f t="shared" si="45"/>
        <v>0</v>
      </c>
      <c r="T80" s="408">
        <f t="shared" si="45"/>
        <v>0</v>
      </c>
      <c r="U80" s="408">
        <f t="shared" si="45"/>
        <v>0</v>
      </c>
      <c r="V80" s="408">
        <f t="shared" si="34"/>
        <v>0</v>
      </c>
      <c r="W80" s="408">
        <f t="shared" si="34"/>
        <v>0</v>
      </c>
      <c r="Y80" s="344">
        <f>'6.Network Design'!I48</f>
        <v>538.598802962963</v>
      </c>
      <c r="Z80" s="226"/>
      <c r="AA80" s="104"/>
      <c r="AB80" s="104"/>
      <c r="AC80" s="104"/>
      <c r="AD80" s="104"/>
      <c r="AE80" s="104"/>
    </row>
    <row r="81" spans="1:31" ht="12.75" outlineLevel="1">
      <c r="A81" s="83"/>
      <c r="B81" s="85"/>
      <c r="C81" s="291" t="str">
        <f>'C. Masterfiles'!C96</f>
        <v>End</v>
      </c>
      <c r="D81" s="90" t="s">
        <v>635</v>
      </c>
      <c r="E81" s="378">
        <f aca="true" t="shared" si="46" ref="E81:U81">SUM(E69:E80)</f>
        <v>1</v>
      </c>
      <c r="F81" s="378">
        <f t="shared" si="46"/>
        <v>1</v>
      </c>
      <c r="G81" s="378">
        <f t="shared" si="46"/>
        <v>0.9999999999999998</v>
      </c>
      <c r="H81" s="378">
        <f t="shared" si="46"/>
        <v>1.0000000000000002</v>
      </c>
      <c r="I81" s="378">
        <f t="shared" si="46"/>
        <v>0.9999999999999998</v>
      </c>
      <c r="J81" s="378">
        <f t="shared" si="46"/>
        <v>1</v>
      </c>
      <c r="K81" s="378">
        <f t="shared" si="46"/>
        <v>1.0000000000000004</v>
      </c>
      <c r="L81" s="378">
        <f t="shared" si="46"/>
        <v>1</v>
      </c>
      <c r="M81" s="378">
        <f t="shared" si="46"/>
        <v>1.0000000000000004</v>
      </c>
      <c r="N81" s="378">
        <f t="shared" si="46"/>
        <v>1.0000000000000004</v>
      </c>
      <c r="O81" s="378">
        <f t="shared" si="46"/>
        <v>0.9999999999999998</v>
      </c>
      <c r="P81" s="378">
        <f t="shared" si="46"/>
        <v>0.9999999999999998</v>
      </c>
      <c r="Q81" s="378">
        <f t="shared" si="46"/>
        <v>1</v>
      </c>
      <c r="R81" s="378">
        <f t="shared" si="46"/>
        <v>0.9999999999999999</v>
      </c>
      <c r="S81" s="378">
        <f t="shared" si="46"/>
        <v>1</v>
      </c>
      <c r="T81" s="378">
        <f t="shared" si="46"/>
        <v>1</v>
      </c>
      <c r="U81" s="378">
        <f t="shared" si="46"/>
        <v>1</v>
      </c>
      <c r="V81" s="378">
        <f>SUM(V69:V80)</f>
        <v>1</v>
      </c>
      <c r="W81" s="378">
        <f>SUM(W69:W80)</f>
        <v>1</v>
      </c>
      <c r="Y81" s="232">
        <f>SUM(Y69:Y80)</f>
        <v>27309.105562472858</v>
      </c>
      <c r="Z81" s="228" t="str">
        <f>IF(Y81='6.Network Design'!I$52,"Ok","Not Ok")</f>
        <v>Ok</v>
      </c>
      <c r="AA81" s="104"/>
      <c r="AB81" s="104"/>
      <c r="AC81" s="104"/>
      <c r="AD81" s="104"/>
      <c r="AE81" s="104"/>
    </row>
    <row r="82" ht="12.75">
      <c r="AA82" s="217"/>
    </row>
    <row r="83" ht="12.75">
      <c r="Y83" s="226"/>
    </row>
    <row r="84" ht="12.75">
      <c r="Y84" s="226"/>
    </row>
    <row r="85" spans="1:31" ht="12.75">
      <c r="A85" s="83"/>
      <c r="B85" s="85"/>
      <c r="C85" s="8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88">
        <f>C86</f>
        <v>2011</v>
      </c>
      <c r="Z85" s="83"/>
      <c r="AA85" s="83"/>
      <c r="AB85" s="83"/>
      <c r="AC85" s="83"/>
      <c r="AD85" s="83"/>
      <c r="AE85" s="83"/>
    </row>
    <row r="86" spans="1:31" ht="39.75">
      <c r="A86" s="83"/>
      <c r="B86" s="85"/>
      <c r="C86" s="338">
        <f>'C. Masterfiles'!D$104</f>
        <v>2011</v>
      </c>
      <c r="D86" s="90" t="s">
        <v>686</v>
      </c>
      <c r="E86" s="376" t="str">
        <f aca="true" t="shared" si="47" ref="E86:U86">E68</f>
        <v>RAU</v>
      </c>
      <c r="F86" s="376" t="str">
        <f t="shared" si="47"/>
        <v>LS</v>
      </c>
      <c r="G86" s="376" t="str">
        <f t="shared" si="47"/>
        <v>TS</v>
      </c>
      <c r="H86" s="376" t="str">
        <f t="shared" si="47"/>
        <v>ISC</v>
      </c>
      <c r="I86" s="376" t="str">
        <f t="shared" si="47"/>
        <v>IGW</v>
      </c>
      <c r="J86" s="376" t="str">
        <f t="shared" si="47"/>
        <v>IN</v>
      </c>
      <c r="K86" s="376" t="str">
        <f t="shared" si="47"/>
        <v>RBIL</v>
      </c>
      <c r="L86" s="376" t="str">
        <f t="shared" si="47"/>
        <v>IBIL</v>
      </c>
      <c r="M86" s="376" t="str">
        <f t="shared" si="47"/>
        <v>NMS</v>
      </c>
      <c r="N86" s="376" t="str">
        <f t="shared" si="47"/>
        <v>OSS</v>
      </c>
      <c r="O86" s="376" t="str">
        <f t="shared" si="47"/>
        <v>Rau-TS</v>
      </c>
      <c r="P86" s="376" t="str">
        <f t="shared" si="47"/>
        <v>LS-TS</v>
      </c>
      <c r="Q86" s="376" t="str">
        <f t="shared" si="47"/>
        <v>TS-TS</v>
      </c>
      <c r="R86" s="376" t="str">
        <f t="shared" si="47"/>
        <v>TS-ISC</v>
      </c>
      <c r="S86" s="376" t="str">
        <f t="shared" si="47"/>
        <v>ISC-ISC</v>
      </c>
      <c r="T86" s="376" t="str">
        <f t="shared" si="47"/>
        <v>ISC-IN</v>
      </c>
      <c r="U86" s="376" t="str">
        <f t="shared" si="47"/>
        <v>TS-IN</v>
      </c>
      <c r="V86" s="376" t="str">
        <f>V68</f>
        <v>TS-IGW</v>
      </c>
      <c r="W86" s="376" t="str">
        <f>W68</f>
        <v>LS-LS</v>
      </c>
      <c r="Y86" s="227" t="s">
        <v>573</v>
      </c>
      <c r="AA86" s="83"/>
      <c r="AB86" s="83"/>
      <c r="AC86" s="83"/>
      <c r="AD86" s="83"/>
      <c r="AE86" s="83"/>
    </row>
    <row r="87" spans="1:31" ht="12.75">
      <c r="A87" s="83"/>
      <c r="B87" s="85"/>
      <c r="C87" s="291" t="str">
        <f>'C. Masterfiles'!C84</f>
        <v>S01</v>
      </c>
      <c r="D87" s="291" t="str">
        <f>'C. Masterfiles'!D84</f>
        <v>On-net local calls</v>
      </c>
      <c r="E87" s="408">
        <f aca="true" t="shared" si="48" ref="E87:U87">E16*$Y87/(IF(SUMPRODUCT(E$16:E$28,$Y$87:$Y$99)=0,1,SUMPRODUCT(E$16:E$28,$Y$87:$Y$99)))</f>
        <v>0.782853574082798</v>
      </c>
      <c r="F87" s="408">
        <f t="shared" si="48"/>
        <v>0.782853574082798</v>
      </c>
      <c r="G87" s="408">
        <f t="shared" si="48"/>
        <v>0.7100728793488947</v>
      </c>
      <c r="H87" s="408">
        <f t="shared" si="48"/>
        <v>0.31356002711812775</v>
      </c>
      <c r="I87" s="408">
        <f t="shared" si="48"/>
        <v>0</v>
      </c>
      <c r="J87" s="408">
        <f t="shared" si="48"/>
        <v>0</v>
      </c>
      <c r="K87" s="408">
        <f t="shared" si="48"/>
        <v>0.8208445275225306</v>
      </c>
      <c r="L87" s="408">
        <f t="shared" si="48"/>
        <v>0</v>
      </c>
      <c r="M87" s="408">
        <f t="shared" si="48"/>
        <v>0.6719568598973971</v>
      </c>
      <c r="N87" s="408">
        <f t="shared" si="48"/>
        <v>0.6719568598973971</v>
      </c>
      <c r="O87" s="408">
        <f t="shared" si="48"/>
        <v>0.8228801063596758</v>
      </c>
      <c r="P87" s="408">
        <f t="shared" si="48"/>
        <v>0.8228801063596758</v>
      </c>
      <c r="Q87" s="408">
        <f t="shared" si="48"/>
        <v>1</v>
      </c>
      <c r="R87" s="408">
        <f t="shared" si="48"/>
        <v>0.26521358685417507</v>
      </c>
      <c r="S87" s="408">
        <f t="shared" si="48"/>
        <v>0</v>
      </c>
      <c r="T87" s="408">
        <f t="shared" si="48"/>
        <v>0</v>
      </c>
      <c r="U87" s="408">
        <f t="shared" si="48"/>
        <v>0</v>
      </c>
      <c r="V87" s="408">
        <f aca="true" t="shared" si="49" ref="V87:W98">V16*$Y87/(IF(SUMPRODUCT(V$16:V$28,$Y$87:$Y$99)=0,1,SUMPRODUCT(V$16:V$28,$Y$87:$Y$99)))</f>
        <v>0</v>
      </c>
      <c r="W87" s="408">
        <f t="shared" si="49"/>
        <v>1</v>
      </c>
      <c r="Y87" s="344">
        <f>'6.Network Design'!J37</f>
        <v>17593.18764444444</v>
      </c>
      <c r="Z87" s="226"/>
      <c r="AA87" s="104"/>
      <c r="AB87" s="104"/>
      <c r="AC87" s="104"/>
      <c r="AD87" s="104"/>
      <c r="AE87" s="104"/>
    </row>
    <row r="88" spans="1:31" ht="12.75" outlineLevel="1">
      <c r="A88" s="83"/>
      <c r="B88" s="85"/>
      <c r="C88" s="291" t="str">
        <f>'C. Masterfiles'!C85</f>
        <v>S02</v>
      </c>
      <c r="D88" s="291" t="str">
        <f>'C. Masterfiles'!D85</f>
        <v>On-net national calls</v>
      </c>
      <c r="E88" s="408">
        <f aca="true" t="shared" si="50" ref="E88:U88">E17*$Y88/(IF(SUMPRODUCT(E$16:E$28,$Y$87:$Y$99)=0,1,SUMPRODUCT(E$16:E$28,$Y$87:$Y$99)))</f>
        <v>0.0972839954873873</v>
      </c>
      <c r="F88" s="408">
        <f t="shared" si="50"/>
        <v>0.0972839954873873</v>
      </c>
      <c r="G88" s="408">
        <f t="shared" si="50"/>
        <v>0.11765286907150771</v>
      </c>
      <c r="H88" s="408">
        <f t="shared" si="50"/>
        <v>0.11689684995916759</v>
      </c>
      <c r="I88" s="408">
        <f t="shared" si="50"/>
        <v>0</v>
      </c>
      <c r="J88" s="408">
        <f t="shared" si="50"/>
        <v>0</v>
      </c>
      <c r="K88" s="408">
        <f t="shared" si="50"/>
        <v>0.1020050721552976</v>
      </c>
      <c r="L88" s="408">
        <f t="shared" si="50"/>
        <v>0</v>
      </c>
      <c r="M88" s="408">
        <f t="shared" si="50"/>
        <v>0.08350303337704813</v>
      </c>
      <c r="N88" s="408">
        <f t="shared" si="50"/>
        <v>0.08350303337704813</v>
      </c>
      <c r="O88" s="408">
        <f t="shared" si="50"/>
        <v>0.05112901518495763</v>
      </c>
      <c r="P88" s="408">
        <f t="shared" si="50"/>
        <v>0.05112901518495763</v>
      </c>
      <c r="Q88" s="408">
        <f t="shared" si="50"/>
        <v>0</v>
      </c>
      <c r="R88" s="408">
        <f t="shared" si="50"/>
        <v>0.32957679751215563</v>
      </c>
      <c r="S88" s="408">
        <f t="shared" si="50"/>
        <v>0.3010497998752904</v>
      </c>
      <c r="T88" s="408">
        <f t="shared" si="50"/>
        <v>0</v>
      </c>
      <c r="U88" s="408">
        <f t="shared" si="50"/>
        <v>0</v>
      </c>
      <c r="V88" s="408">
        <f t="shared" si="49"/>
        <v>0</v>
      </c>
      <c r="W88" s="408">
        <f t="shared" si="49"/>
        <v>0</v>
      </c>
      <c r="Y88" s="344">
        <f>'6.Network Design'!J38</f>
        <v>2186.2780525925928</v>
      </c>
      <c r="Z88" s="226"/>
      <c r="AA88" s="104"/>
      <c r="AB88" s="104"/>
      <c r="AC88" s="104"/>
      <c r="AD88" s="104"/>
      <c r="AE88" s="104"/>
    </row>
    <row r="89" spans="1:31" ht="12.75" outlineLevel="1">
      <c r="A89" s="83"/>
      <c r="B89" s="85"/>
      <c r="C89" s="291" t="str">
        <f>'C. Masterfiles'!C86</f>
        <v>S03</v>
      </c>
      <c r="D89" s="291" t="str">
        <f>'C. Masterfiles'!D86</f>
        <v>Originating calls (local)</v>
      </c>
      <c r="E89" s="408">
        <f aca="true" t="shared" si="51" ref="E89:U89">E18*$Y89/(IF(SUMPRODUCT(E$16:E$28,$Y$87:$Y$99)=0,1,SUMPRODUCT(E$16:E$28,$Y$87:$Y$99)))</f>
        <v>0.0097074045489813</v>
      </c>
      <c r="F89" s="408">
        <f t="shared" si="51"/>
        <v>0.0097074045489813</v>
      </c>
      <c r="G89" s="408">
        <f t="shared" si="51"/>
        <v>0.011739896071327858</v>
      </c>
      <c r="H89" s="408">
        <f t="shared" si="51"/>
        <v>0</v>
      </c>
      <c r="I89" s="408">
        <f t="shared" si="51"/>
        <v>0.10137017533838678</v>
      </c>
      <c r="J89" s="408">
        <f t="shared" si="51"/>
        <v>0</v>
      </c>
      <c r="K89" s="408">
        <f t="shared" si="51"/>
        <v>0.020356986706778095</v>
      </c>
      <c r="L89" s="408">
        <f t="shared" si="51"/>
        <v>0</v>
      </c>
      <c r="M89" s="408">
        <f t="shared" si="51"/>
        <v>0.016664564854620655</v>
      </c>
      <c r="N89" s="408">
        <f t="shared" si="51"/>
        <v>0.016664564854620655</v>
      </c>
      <c r="O89" s="408">
        <f t="shared" si="51"/>
        <v>0.010203734583572691</v>
      </c>
      <c r="P89" s="408">
        <f t="shared" si="51"/>
        <v>0.010203734583572691</v>
      </c>
      <c r="Q89" s="408">
        <f t="shared" si="51"/>
        <v>0</v>
      </c>
      <c r="R89" s="408">
        <f t="shared" si="51"/>
        <v>0</v>
      </c>
      <c r="S89" s="408">
        <f t="shared" si="51"/>
        <v>0</v>
      </c>
      <c r="T89" s="408">
        <f t="shared" si="51"/>
        <v>0</v>
      </c>
      <c r="U89" s="408">
        <f t="shared" si="51"/>
        <v>0</v>
      </c>
      <c r="V89" s="408">
        <f t="shared" si="49"/>
        <v>0.2136957505526574</v>
      </c>
      <c r="W89" s="408">
        <f t="shared" si="49"/>
        <v>0</v>
      </c>
      <c r="Y89" s="344">
        <f>'6.Network Design'!J39</f>
        <v>436.31196286190465</v>
      </c>
      <c r="Z89" s="226"/>
      <c r="AA89" s="104"/>
      <c r="AB89" s="104"/>
      <c r="AC89" s="104"/>
      <c r="AD89" s="104"/>
      <c r="AE89" s="104"/>
    </row>
    <row r="90" spans="1:31" ht="12.75" outlineLevel="1">
      <c r="A90" s="83"/>
      <c r="B90" s="85"/>
      <c r="C90" s="291" t="str">
        <f>'C. Masterfiles'!C87</f>
        <v>S04</v>
      </c>
      <c r="D90" s="291" t="str">
        <f>'C. Masterfiles'!D87</f>
        <v>Originating calls (national) </v>
      </c>
      <c r="E90" s="408">
        <f aca="true" t="shared" si="52" ref="E90:U90">E19*$Y90/(IF(SUMPRODUCT(E$16:E$28,$Y$87:$Y$99)=0,1,SUMPRODUCT(E$16:E$28,$Y$87:$Y$99)))</f>
        <v>0.011863956889044907</v>
      </c>
      <c r="F90" s="408">
        <f t="shared" si="52"/>
        <v>0.011863956889044907</v>
      </c>
      <c r="G90" s="408">
        <f t="shared" si="52"/>
        <v>0.01434797737843507</v>
      </c>
      <c r="H90" s="408">
        <f t="shared" si="52"/>
        <v>0.04751926499429598</v>
      </c>
      <c r="I90" s="408">
        <f t="shared" si="52"/>
        <v>0.12389010718377354</v>
      </c>
      <c r="J90" s="408">
        <f t="shared" si="52"/>
        <v>0</v>
      </c>
      <c r="K90" s="408">
        <f t="shared" si="52"/>
        <v>0.024879401230416445</v>
      </c>
      <c r="L90" s="408">
        <f t="shared" si="52"/>
        <v>0</v>
      </c>
      <c r="M90" s="408">
        <f t="shared" si="52"/>
        <v>0.020366687924905726</v>
      </c>
      <c r="N90" s="408">
        <f t="shared" si="52"/>
        <v>0.020366687924905726</v>
      </c>
      <c r="O90" s="408">
        <f t="shared" si="52"/>
        <v>0.012470549320978566</v>
      </c>
      <c r="P90" s="408">
        <f t="shared" si="52"/>
        <v>0.012470549320978566</v>
      </c>
      <c r="Q90" s="408">
        <f t="shared" si="52"/>
        <v>0</v>
      </c>
      <c r="R90" s="408">
        <f t="shared" si="52"/>
        <v>0.040192478708593264</v>
      </c>
      <c r="S90" s="408">
        <f t="shared" si="52"/>
        <v>0</v>
      </c>
      <c r="T90" s="408">
        <f t="shared" si="52"/>
        <v>0</v>
      </c>
      <c r="U90" s="408">
        <f t="shared" si="52"/>
        <v>0</v>
      </c>
      <c r="V90" s="408">
        <f t="shared" si="49"/>
        <v>0</v>
      </c>
      <c r="W90" s="408">
        <f t="shared" si="49"/>
        <v>0</v>
      </c>
      <c r="Y90" s="344">
        <f>'6.Network Design'!J40</f>
        <v>533.24102147483</v>
      </c>
      <c r="Z90" s="226"/>
      <c r="AA90" s="104"/>
      <c r="AB90" s="104"/>
      <c r="AC90" s="104"/>
      <c r="AD90" s="104"/>
      <c r="AE90" s="104"/>
    </row>
    <row r="91" spans="1:31" ht="12.75" outlineLevel="1">
      <c r="A91" s="83"/>
      <c r="B91" s="85"/>
      <c r="C91" s="291" t="str">
        <f>'C. Masterfiles'!C88</f>
        <v>S05</v>
      </c>
      <c r="D91" s="291" t="str">
        <f>'C. Masterfiles'!D88</f>
        <v>Originating calls (international)</v>
      </c>
      <c r="E91" s="408">
        <f aca="true" t="shared" si="53" ref="E91:U91">E20*$Y91/(IF(SUMPRODUCT(E$16:E$28,$Y$87:$Y$99)=0,1,SUMPRODUCT(E$16:E$28,$Y$87:$Y$99)))</f>
        <v>0.008914642514106723</v>
      </c>
      <c r="F91" s="408">
        <f t="shared" si="53"/>
        <v>0.008914642514106723</v>
      </c>
      <c r="G91" s="408">
        <f t="shared" si="53"/>
        <v>0.01078114918365451</v>
      </c>
      <c r="H91" s="408">
        <f t="shared" si="53"/>
        <v>0.03570623729663241</v>
      </c>
      <c r="I91" s="408">
        <f t="shared" si="53"/>
        <v>0</v>
      </c>
      <c r="J91" s="408">
        <f t="shared" si="53"/>
        <v>0</v>
      </c>
      <c r="K91" s="408">
        <f t="shared" si="53"/>
        <v>0.01869451903849969</v>
      </c>
      <c r="L91" s="408">
        <f t="shared" si="53"/>
        <v>0</v>
      </c>
      <c r="M91" s="408">
        <f t="shared" si="53"/>
        <v>0.015303641419547086</v>
      </c>
      <c r="N91" s="408">
        <f t="shared" si="53"/>
        <v>0.015303641419547086</v>
      </c>
      <c r="O91" s="408">
        <f t="shared" si="53"/>
        <v>0.009370439406578954</v>
      </c>
      <c r="P91" s="408">
        <f t="shared" si="53"/>
        <v>0.009370439406578954</v>
      </c>
      <c r="Q91" s="408">
        <f t="shared" si="53"/>
        <v>0</v>
      </c>
      <c r="R91" s="408">
        <f t="shared" si="53"/>
        <v>0.03020084974969927</v>
      </c>
      <c r="S91" s="408">
        <f t="shared" si="53"/>
        <v>0</v>
      </c>
      <c r="T91" s="408">
        <f t="shared" si="53"/>
        <v>0</v>
      </c>
      <c r="U91" s="408">
        <f t="shared" si="53"/>
        <v>0</v>
      </c>
      <c r="V91" s="408">
        <f t="shared" si="49"/>
        <v>0</v>
      </c>
      <c r="W91" s="408">
        <f t="shared" si="49"/>
        <v>0</v>
      </c>
      <c r="Y91" s="344">
        <f>'6.Network Design'!J41</f>
        <v>400.680238875</v>
      </c>
      <c r="Z91" s="226"/>
      <c r="AA91" s="104"/>
      <c r="AB91" s="104"/>
      <c r="AC91" s="104"/>
      <c r="AD91" s="104"/>
      <c r="AE91" s="104"/>
    </row>
    <row r="92" spans="1:31" ht="12.75" outlineLevel="1">
      <c r="A92" s="83"/>
      <c r="B92" s="85"/>
      <c r="C92" s="291" t="str">
        <f>'C. Masterfiles'!C89</f>
        <v>S06</v>
      </c>
      <c r="D92" s="291" t="str">
        <f>'C. Masterfiles'!D89</f>
        <v>Terminating calls (local)</v>
      </c>
      <c r="E92" s="408">
        <f aca="true" t="shared" si="54" ref="E92:U92">E21*$Y92/(IF(SUMPRODUCT(E$16:E$28,$Y$87:$Y$99)=0,1,SUMPRODUCT(E$16:E$28,$Y$87:$Y$99)))</f>
        <v>0.013132364410962626</v>
      </c>
      <c r="F92" s="408">
        <f t="shared" si="54"/>
        <v>0.013132364410962626</v>
      </c>
      <c r="G92" s="408">
        <f t="shared" si="54"/>
        <v>0.015881958208044895</v>
      </c>
      <c r="H92" s="408">
        <f t="shared" si="54"/>
        <v>0</v>
      </c>
      <c r="I92" s="408">
        <f t="shared" si="54"/>
        <v>0.13713553156559977</v>
      </c>
      <c r="J92" s="408">
        <f t="shared" si="54"/>
        <v>0</v>
      </c>
      <c r="K92" s="408">
        <f t="shared" si="54"/>
        <v>0</v>
      </c>
      <c r="L92" s="408">
        <f t="shared" si="54"/>
        <v>0.12428993330334674</v>
      </c>
      <c r="M92" s="408">
        <f t="shared" si="54"/>
        <v>0.022544145277633924</v>
      </c>
      <c r="N92" s="408">
        <f t="shared" si="54"/>
        <v>0.022544145277633924</v>
      </c>
      <c r="O92" s="408">
        <f t="shared" si="54"/>
        <v>0.01380380927034513</v>
      </c>
      <c r="P92" s="408">
        <f t="shared" si="54"/>
        <v>0.01380380927034513</v>
      </c>
      <c r="Q92" s="408">
        <f t="shared" si="54"/>
        <v>0</v>
      </c>
      <c r="R92" s="408">
        <f t="shared" si="54"/>
        <v>0</v>
      </c>
      <c r="S92" s="408">
        <f t="shared" si="54"/>
        <v>0</v>
      </c>
      <c r="T92" s="408">
        <f t="shared" si="54"/>
        <v>0</v>
      </c>
      <c r="U92" s="408">
        <f t="shared" si="54"/>
        <v>0</v>
      </c>
      <c r="V92" s="408">
        <f t="shared" si="49"/>
        <v>0.28909173973038577</v>
      </c>
      <c r="W92" s="408">
        <f t="shared" si="49"/>
        <v>0</v>
      </c>
      <c r="Y92" s="344">
        <f>'6.Network Design'!J42</f>
        <v>590.2512524592593</v>
      </c>
      <c r="Z92" s="226"/>
      <c r="AA92" s="104"/>
      <c r="AB92" s="104"/>
      <c r="AC92" s="104"/>
      <c r="AD92" s="104"/>
      <c r="AE92" s="104"/>
    </row>
    <row r="93" spans="1:31" ht="12.75" outlineLevel="1">
      <c r="A93" s="83"/>
      <c r="B93" s="85"/>
      <c r="C93" s="291" t="str">
        <f>'C. Masterfiles'!C90</f>
        <v>S07</v>
      </c>
      <c r="D93" s="291" t="str">
        <f>'C. Masterfiles'!D90</f>
        <v>Terminating calls (national) </v>
      </c>
      <c r="E93" s="408">
        <f aca="true" t="shared" si="55" ref="E93:U93">E22*$Y93/(IF(SUMPRODUCT(E$16:E$28,$Y$87:$Y$99)=0,1,SUMPRODUCT(E$16:E$28,$Y$87:$Y$99)))</f>
        <v>0.015885176586183613</v>
      </c>
      <c r="F93" s="408">
        <f t="shared" si="55"/>
        <v>0.015885176586183613</v>
      </c>
      <c r="G93" s="408">
        <f t="shared" si="55"/>
        <v>0.01921114148024836</v>
      </c>
      <c r="H93" s="408">
        <f t="shared" si="55"/>
        <v>0.06362564553627718</v>
      </c>
      <c r="I93" s="408">
        <f t="shared" si="55"/>
        <v>0.16588194379842275</v>
      </c>
      <c r="J93" s="408">
        <f t="shared" si="55"/>
        <v>0</v>
      </c>
      <c r="K93" s="408">
        <f t="shared" si="55"/>
        <v>0</v>
      </c>
      <c r="L93" s="408">
        <f t="shared" si="55"/>
        <v>0.1503436454109121</v>
      </c>
      <c r="M93" s="408">
        <f t="shared" si="55"/>
        <v>0.027269859220540902</v>
      </c>
      <c r="N93" s="408">
        <f t="shared" si="55"/>
        <v>0.027269859220540902</v>
      </c>
      <c r="O93" s="408">
        <f t="shared" si="55"/>
        <v>0.01669737002107433</v>
      </c>
      <c r="P93" s="408">
        <f t="shared" si="55"/>
        <v>0.01669737002107433</v>
      </c>
      <c r="Q93" s="408">
        <f t="shared" si="55"/>
        <v>0</v>
      </c>
      <c r="R93" s="408">
        <f t="shared" si="55"/>
        <v>0.05381548733643687</v>
      </c>
      <c r="S93" s="408">
        <f t="shared" si="55"/>
        <v>0</v>
      </c>
      <c r="T93" s="408">
        <f t="shared" si="55"/>
        <v>0</v>
      </c>
      <c r="U93" s="408">
        <f t="shared" si="55"/>
        <v>0</v>
      </c>
      <c r="V93" s="408">
        <f t="shared" si="49"/>
        <v>0</v>
      </c>
      <c r="W93" s="408">
        <f t="shared" si="49"/>
        <v>0</v>
      </c>
      <c r="Y93" s="344">
        <f>'6.Network Design'!J43</f>
        <v>713.9799873131973</v>
      </c>
      <c r="Z93" s="226"/>
      <c r="AA93" s="104"/>
      <c r="AB93" s="104"/>
      <c r="AC93" s="104"/>
      <c r="AD93" s="104"/>
      <c r="AE93" s="104"/>
    </row>
    <row r="94" spans="1:31" ht="12.75" outlineLevel="1">
      <c r="A94" s="83"/>
      <c r="B94" s="85"/>
      <c r="C94" s="291" t="str">
        <f>'C. Masterfiles'!C91</f>
        <v>S08</v>
      </c>
      <c r="D94" s="291" t="str">
        <f>'C. Masterfiles'!D91</f>
        <v>Terminating calls (international)</v>
      </c>
      <c r="E94" s="408">
        <f aca="true" t="shared" si="56" ref="E94:U94">E23*$Y94/(IF(SUMPRODUCT(E$16:E$28,$Y$87:$Y$99)=0,1,SUMPRODUCT(E$16:E$28,$Y$87:$Y$99)))</f>
        <v>0.054055056151802</v>
      </c>
      <c r="F94" s="408">
        <f t="shared" si="56"/>
        <v>0.054055056151802</v>
      </c>
      <c r="G94" s="408">
        <f t="shared" si="56"/>
        <v>0.06537285410841792</v>
      </c>
      <c r="H94" s="408">
        <f t="shared" si="56"/>
        <v>0.21650926091369288</v>
      </c>
      <c r="I94" s="408">
        <f t="shared" si="56"/>
        <v>0</v>
      </c>
      <c r="J94" s="408">
        <f t="shared" si="56"/>
        <v>0</v>
      </c>
      <c r="K94" s="408">
        <f t="shared" si="56"/>
        <v>0</v>
      </c>
      <c r="L94" s="408">
        <f t="shared" si="56"/>
        <v>0.5115986058236147</v>
      </c>
      <c r="M94" s="408">
        <f t="shared" si="56"/>
        <v>0.09279555461159765</v>
      </c>
      <c r="N94" s="408">
        <f t="shared" si="56"/>
        <v>0.09279555461159765</v>
      </c>
      <c r="O94" s="408">
        <f t="shared" si="56"/>
        <v>0.05681883793861122</v>
      </c>
      <c r="P94" s="408">
        <f t="shared" si="56"/>
        <v>0.05681883793861122</v>
      </c>
      <c r="Q94" s="408">
        <f t="shared" si="56"/>
        <v>0</v>
      </c>
      <c r="R94" s="408">
        <f t="shared" si="56"/>
        <v>0.1831266510652348</v>
      </c>
      <c r="S94" s="408">
        <f t="shared" si="56"/>
        <v>0</v>
      </c>
      <c r="T94" s="408">
        <f t="shared" si="56"/>
        <v>0</v>
      </c>
      <c r="U94" s="408">
        <f t="shared" si="56"/>
        <v>0</v>
      </c>
      <c r="V94" s="408">
        <f t="shared" si="49"/>
        <v>0</v>
      </c>
      <c r="W94" s="408">
        <f t="shared" si="49"/>
        <v>0</v>
      </c>
      <c r="Y94" s="344">
        <f>'6.Network Design'!J44</f>
        <v>2429.5750252499997</v>
      </c>
      <c r="Z94" s="226"/>
      <c r="AA94" s="104"/>
      <c r="AB94" s="104"/>
      <c r="AC94" s="104"/>
      <c r="AD94" s="104"/>
      <c r="AE94" s="104"/>
    </row>
    <row r="95" spans="1:31" ht="12.75" outlineLevel="1">
      <c r="A95" s="83"/>
      <c r="B95" s="85"/>
      <c r="C95" s="291" t="str">
        <f>'C. Masterfiles'!C92</f>
        <v>S09</v>
      </c>
      <c r="D95" s="291" t="str">
        <f>'C. Masterfiles'!D92</f>
        <v>Transit calls</v>
      </c>
      <c r="E95" s="408">
        <f aca="true" t="shared" si="57" ref="E95:U95">E24*$Y95/(IF(SUMPRODUCT(E$16:E$28,$Y$87:$Y$99)=0,1,SUMPRODUCT(E$16:E$28,$Y$87:$Y$99)))</f>
        <v>0</v>
      </c>
      <c r="F95" s="408">
        <f t="shared" si="57"/>
        <v>0</v>
      </c>
      <c r="G95" s="408">
        <f t="shared" si="57"/>
        <v>0.027315579155621997</v>
      </c>
      <c r="H95" s="408">
        <f t="shared" si="57"/>
        <v>0.1809336898341616</v>
      </c>
      <c r="I95" s="408">
        <f t="shared" si="57"/>
        <v>0.47172224211381714</v>
      </c>
      <c r="J95" s="408">
        <f t="shared" si="57"/>
        <v>0</v>
      </c>
      <c r="K95" s="408">
        <f t="shared" si="57"/>
        <v>0</v>
      </c>
      <c r="L95" s="408">
        <f t="shared" si="57"/>
        <v>0.21376781546212653</v>
      </c>
      <c r="M95" s="408">
        <f t="shared" si="57"/>
        <v>0.038773958271412584</v>
      </c>
      <c r="N95" s="408">
        <f t="shared" si="57"/>
        <v>0.038773958271412584</v>
      </c>
      <c r="O95" s="408">
        <f t="shared" si="57"/>
        <v>0</v>
      </c>
      <c r="P95" s="408">
        <f t="shared" si="57"/>
        <v>0</v>
      </c>
      <c r="Q95" s="408">
        <f t="shared" si="57"/>
        <v>0</v>
      </c>
      <c r="R95" s="408">
        <f t="shared" si="57"/>
        <v>0.07651816034191271</v>
      </c>
      <c r="S95" s="408">
        <f t="shared" si="57"/>
        <v>0.6989502001247095</v>
      </c>
      <c r="T95" s="408">
        <f t="shared" si="57"/>
        <v>0</v>
      </c>
      <c r="U95" s="408">
        <f t="shared" si="57"/>
        <v>0</v>
      </c>
      <c r="V95" s="408">
        <f t="shared" si="49"/>
        <v>0.49721250971695685</v>
      </c>
      <c r="W95" s="408">
        <f t="shared" si="49"/>
        <v>0</v>
      </c>
      <c r="Y95" s="344">
        <f>'6.Network Design'!J45</f>
        <v>1015.1805336000002</v>
      </c>
      <c r="Z95" s="226"/>
      <c r="AA95" s="104"/>
      <c r="AB95" s="104"/>
      <c r="AC95" s="104"/>
      <c r="AD95" s="104"/>
      <c r="AE95" s="104"/>
    </row>
    <row r="96" spans="1:31" ht="12.75" outlineLevel="1">
      <c r="A96" s="83"/>
      <c r="B96" s="85"/>
      <c r="C96" s="291" t="str">
        <f>'C. Masterfiles'!C93</f>
        <v>S10</v>
      </c>
      <c r="D96" s="291" t="str">
        <f>'C. Masterfiles'!D93</f>
        <v>Calls to directory enquiries, emergency &amp; helpdesk</v>
      </c>
      <c r="E96" s="408">
        <f aca="true" t="shared" si="58" ref="E96:U96">E25*$Y96/(IF(SUMPRODUCT(E$16:E$28,$Y$87:$Y$99)=0,1,SUMPRODUCT(E$16:E$28,$Y$87:$Y$99)))</f>
        <v>0.00048545382878657664</v>
      </c>
      <c r="F96" s="408">
        <f t="shared" si="58"/>
        <v>0.00048545382878657664</v>
      </c>
      <c r="G96" s="408">
        <f t="shared" si="58"/>
        <v>0.0005870959089657671</v>
      </c>
      <c r="H96" s="408">
        <f t="shared" si="58"/>
        <v>0.0019444110719844345</v>
      </c>
      <c r="I96" s="408">
        <f t="shared" si="58"/>
        <v>0</v>
      </c>
      <c r="J96" s="408">
        <f t="shared" si="58"/>
        <v>0.69696992029235</v>
      </c>
      <c r="K96" s="408">
        <f t="shared" si="58"/>
        <v>0.0010180246521610075</v>
      </c>
      <c r="L96" s="408">
        <f t="shared" si="58"/>
        <v>0</v>
      </c>
      <c r="M96" s="408">
        <f t="shared" si="58"/>
        <v>0.0008333717599712865</v>
      </c>
      <c r="N96" s="408">
        <f t="shared" si="58"/>
        <v>0.0008333717599712865</v>
      </c>
      <c r="O96" s="408">
        <f t="shared" si="58"/>
        <v>0.0005102746049702013</v>
      </c>
      <c r="P96" s="408">
        <f t="shared" si="58"/>
        <v>0.0005102746049702013</v>
      </c>
      <c r="Q96" s="408">
        <f t="shared" si="58"/>
        <v>0</v>
      </c>
      <c r="R96" s="408">
        <f t="shared" si="58"/>
        <v>0.0016446108882548643</v>
      </c>
      <c r="S96" s="408">
        <f t="shared" si="58"/>
        <v>0</v>
      </c>
      <c r="T96" s="408">
        <f t="shared" si="58"/>
        <v>0.69696992029235</v>
      </c>
      <c r="U96" s="408">
        <f t="shared" si="58"/>
        <v>0.69696992029235</v>
      </c>
      <c r="V96" s="408">
        <f t="shared" si="49"/>
        <v>0</v>
      </c>
      <c r="W96" s="408">
        <f t="shared" si="49"/>
        <v>0</v>
      </c>
      <c r="Y96" s="344">
        <f>'6.Network Design'!J46</f>
        <v>21.819355714285713</v>
      </c>
      <c r="Z96" s="226"/>
      <c r="AA96" s="104"/>
      <c r="AB96" s="104"/>
      <c r="AC96" s="104"/>
      <c r="AD96" s="104"/>
      <c r="AE96" s="104"/>
    </row>
    <row r="97" spans="1:31" ht="12.75" outlineLevel="1">
      <c r="A97" s="83"/>
      <c r="B97" s="85"/>
      <c r="C97" s="291" t="str">
        <f>'C. Masterfiles'!C94</f>
        <v>S11</v>
      </c>
      <c r="D97" s="291" t="str">
        <f>'C. Masterfiles'!D94</f>
        <v>Calls to non-geographic numbers</v>
      </c>
      <c r="E97" s="408">
        <f aca="true" t="shared" si="59" ref="E97:U97">E26*$Y97/(IF(SUMPRODUCT(E$16:E$28,$Y$87:$Y$99)=0,1,SUMPRODUCT(E$16:E$28,$Y$87:$Y$99)))</f>
        <v>0.00021106665890240263</v>
      </c>
      <c r="F97" s="408">
        <f t="shared" si="59"/>
        <v>0.00021106665890240263</v>
      </c>
      <c r="G97" s="408">
        <f t="shared" si="59"/>
        <v>0.0002552588209478347</v>
      </c>
      <c r="H97" s="408">
        <f t="shared" si="59"/>
        <v>0.0008453952243458784</v>
      </c>
      <c r="I97" s="408">
        <f t="shared" si="59"/>
        <v>0</v>
      </c>
      <c r="J97" s="408">
        <f t="shared" si="59"/>
        <v>0.30303007970764995</v>
      </c>
      <c r="K97" s="408">
        <f t="shared" si="59"/>
        <v>0.0004426189459644156</v>
      </c>
      <c r="L97" s="408">
        <f t="shared" si="59"/>
        <v>0</v>
      </c>
      <c r="M97" s="408">
        <f t="shared" si="59"/>
        <v>0.0003623351646858372</v>
      </c>
      <c r="N97" s="408">
        <f t="shared" si="59"/>
        <v>0.0003623351646858372</v>
      </c>
      <c r="O97" s="408">
        <f t="shared" si="59"/>
        <v>0.00022185828931046183</v>
      </c>
      <c r="P97" s="408">
        <f t="shared" si="59"/>
        <v>0.00022185828931046183</v>
      </c>
      <c r="Q97" s="408">
        <f t="shared" si="59"/>
        <v>0</v>
      </c>
      <c r="R97" s="408">
        <f t="shared" si="59"/>
        <v>0.0007150474562042741</v>
      </c>
      <c r="S97" s="408">
        <f t="shared" si="59"/>
        <v>0</v>
      </c>
      <c r="T97" s="408">
        <f t="shared" si="59"/>
        <v>0.30303007970764995</v>
      </c>
      <c r="U97" s="408">
        <f t="shared" si="59"/>
        <v>0.30303007970764995</v>
      </c>
      <c r="V97" s="408">
        <f t="shared" si="49"/>
        <v>0</v>
      </c>
      <c r="W97" s="408">
        <f t="shared" si="49"/>
        <v>0</v>
      </c>
      <c r="Y97" s="344">
        <f>'6.Network Design'!J47</f>
        <v>9.486666366456877</v>
      </c>
      <c r="Z97" s="226"/>
      <c r="AA97" s="104"/>
      <c r="AB97" s="104"/>
      <c r="AC97" s="104"/>
      <c r="AD97" s="104"/>
      <c r="AE97" s="104"/>
    </row>
    <row r="98" spans="1:31" ht="12.75" outlineLevel="1">
      <c r="A98" s="83"/>
      <c r="B98" s="85"/>
      <c r="C98" s="291" t="str">
        <f>'C. Masterfiles'!C95</f>
        <v>S12</v>
      </c>
      <c r="D98" s="291" t="str">
        <f>'C. Masterfiles'!D95</f>
        <v>Internet dial-up calls</v>
      </c>
      <c r="E98" s="408">
        <f aca="true" t="shared" si="60" ref="E98:U98">E27*$Y98/(IF(SUMPRODUCT(E$16:E$28,$Y$87:$Y$99)=0,1,SUMPRODUCT(E$16:E$28,$Y$87:$Y$99)))</f>
        <v>0.0056073088410444815</v>
      </c>
      <c r="F98" s="408">
        <f t="shared" si="60"/>
        <v>0.0056073088410444815</v>
      </c>
      <c r="G98" s="408">
        <f t="shared" si="60"/>
        <v>0.0067813412639332335</v>
      </c>
      <c r="H98" s="408">
        <f t="shared" si="60"/>
        <v>0.022459218051314244</v>
      </c>
      <c r="I98" s="408">
        <f t="shared" si="60"/>
        <v>0</v>
      </c>
      <c r="J98" s="408">
        <f t="shared" si="60"/>
        <v>0</v>
      </c>
      <c r="K98" s="408">
        <f t="shared" si="60"/>
        <v>0.011758849748352203</v>
      </c>
      <c r="L98" s="408">
        <f t="shared" si="60"/>
        <v>0</v>
      </c>
      <c r="M98" s="408">
        <f t="shared" si="60"/>
        <v>0.009625988220639217</v>
      </c>
      <c r="N98" s="408">
        <f t="shared" si="60"/>
        <v>0.009625988220639217</v>
      </c>
      <c r="O98" s="408">
        <f t="shared" si="60"/>
        <v>0.005894005019924992</v>
      </c>
      <c r="P98" s="408">
        <f t="shared" si="60"/>
        <v>0.005894005019924992</v>
      </c>
      <c r="Q98" s="408">
        <f t="shared" si="60"/>
        <v>0</v>
      </c>
      <c r="R98" s="408">
        <f t="shared" si="60"/>
        <v>0.018996330087333143</v>
      </c>
      <c r="S98" s="408">
        <f t="shared" si="60"/>
        <v>0</v>
      </c>
      <c r="T98" s="408">
        <f t="shared" si="60"/>
        <v>0</v>
      </c>
      <c r="U98" s="408">
        <f t="shared" si="60"/>
        <v>0</v>
      </c>
      <c r="V98" s="408">
        <f t="shared" si="49"/>
        <v>0</v>
      </c>
      <c r="W98" s="408">
        <f t="shared" si="49"/>
        <v>0</v>
      </c>
      <c r="Y98" s="344">
        <f>'6.Network Design'!J48</f>
        <v>252.02781180740737</v>
      </c>
      <c r="Z98" s="226"/>
      <c r="AA98" s="104"/>
      <c r="AB98" s="104"/>
      <c r="AC98" s="104"/>
      <c r="AD98" s="104"/>
      <c r="AE98" s="104"/>
    </row>
    <row r="99" spans="1:31" ht="12.75" outlineLevel="1">
      <c r="A99" s="83"/>
      <c r="B99" s="85"/>
      <c r="C99" s="291" t="str">
        <f>'C. Masterfiles'!C96</f>
        <v>End</v>
      </c>
      <c r="D99" s="90" t="s">
        <v>635</v>
      </c>
      <c r="E99" s="378">
        <f aca="true" t="shared" si="61" ref="E99:U99">SUM(E87:E98)</f>
        <v>0.9999999999999999</v>
      </c>
      <c r="F99" s="378">
        <f t="shared" si="61"/>
        <v>0.9999999999999999</v>
      </c>
      <c r="G99" s="378">
        <f t="shared" si="61"/>
        <v>1</v>
      </c>
      <c r="H99" s="378">
        <f t="shared" si="61"/>
        <v>0.9999999999999999</v>
      </c>
      <c r="I99" s="378">
        <f t="shared" si="61"/>
        <v>1</v>
      </c>
      <c r="J99" s="378">
        <f t="shared" si="61"/>
        <v>1</v>
      </c>
      <c r="K99" s="378">
        <f t="shared" si="61"/>
        <v>1.0000000000000002</v>
      </c>
      <c r="L99" s="378">
        <f t="shared" si="61"/>
        <v>1</v>
      </c>
      <c r="M99" s="378">
        <f t="shared" si="61"/>
        <v>1.0000000000000002</v>
      </c>
      <c r="N99" s="378">
        <f t="shared" si="61"/>
        <v>1.0000000000000002</v>
      </c>
      <c r="O99" s="378">
        <f t="shared" si="61"/>
        <v>0.9999999999999999</v>
      </c>
      <c r="P99" s="378">
        <f t="shared" si="61"/>
        <v>0.9999999999999999</v>
      </c>
      <c r="Q99" s="378">
        <f t="shared" si="61"/>
        <v>1</v>
      </c>
      <c r="R99" s="378">
        <f t="shared" si="61"/>
        <v>0.9999999999999999</v>
      </c>
      <c r="S99" s="378">
        <f t="shared" si="61"/>
        <v>1</v>
      </c>
      <c r="T99" s="378">
        <f t="shared" si="61"/>
        <v>1</v>
      </c>
      <c r="U99" s="378">
        <f t="shared" si="61"/>
        <v>1</v>
      </c>
      <c r="V99" s="378">
        <f>SUM(V87:V98)</f>
        <v>1</v>
      </c>
      <c r="W99" s="378">
        <f>SUM(W87:W98)</f>
        <v>1</v>
      </c>
      <c r="Y99" s="232">
        <f>SUM(Y87:Y98)</f>
        <v>26182.01955275937</v>
      </c>
      <c r="Z99" s="228" t="str">
        <f>IF(Y99='6.Network Design'!J$52,"Ok","Not Ok")</f>
        <v>Ok</v>
      </c>
      <c r="AA99" s="104"/>
      <c r="AB99" s="104"/>
      <c r="AC99" s="104"/>
      <c r="AD99" s="104"/>
      <c r="AE99" s="104"/>
    </row>
    <row r="100" spans="26:27" ht="12.75">
      <c r="Z100" s="228"/>
      <c r="AA100" s="217"/>
    </row>
    <row r="101" ht="12.75">
      <c r="Y101" s="226"/>
    </row>
    <row r="102" ht="12.75">
      <c r="Y102" s="226"/>
    </row>
    <row r="103" spans="1:31" ht="12.75">
      <c r="A103" s="83"/>
      <c r="B103" s="85"/>
      <c r="C103" s="83"/>
      <c r="D103" s="102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83"/>
      <c r="Y103" s="88">
        <f>C104</f>
        <v>2012</v>
      </c>
      <c r="Z103" s="83"/>
      <c r="AA103" s="83"/>
      <c r="AB103" s="83"/>
      <c r="AC103" s="83"/>
      <c r="AD103" s="83"/>
      <c r="AE103" s="83"/>
    </row>
    <row r="104" spans="2:25" s="57" customFormat="1" ht="39.75">
      <c r="B104" s="89"/>
      <c r="C104" s="338">
        <f>'C. Masterfiles'!D$105</f>
        <v>2012</v>
      </c>
      <c r="D104" s="90" t="s">
        <v>686</v>
      </c>
      <c r="E104" s="376" t="str">
        <f aca="true" t="shared" si="62" ref="E104:U104">E86</f>
        <v>RAU</v>
      </c>
      <c r="F104" s="376" t="str">
        <f t="shared" si="62"/>
        <v>LS</v>
      </c>
      <c r="G104" s="376" t="str">
        <f t="shared" si="62"/>
        <v>TS</v>
      </c>
      <c r="H104" s="376" t="str">
        <f t="shared" si="62"/>
        <v>ISC</v>
      </c>
      <c r="I104" s="376" t="str">
        <f t="shared" si="62"/>
        <v>IGW</v>
      </c>
      <c r="J104" s="376" t="str">
        <f t="shared" si="62"/>
        <v>IN</v>
      </c>
      <c r="K104" s="376" t="str">
        <f t="shared" si="62"/>
        <v>RBIL</v>
      </c>
      <c r="L104" s="376" t="str">
        <f t="shared" si="62"/>
        <v>IBIL</v>
      </c>
      <c r="M104" s="376" t="str">
        <f t="shared" si="62"/>
        <v>NMS</v>
      </c>
      <c r="N104" s="376" t="str">
        <f t="shared" si="62"/>
        <v>OSS</v>
      </c>
      <c r="O104" s="376" t="str">
        <f t="shared" si="62"/>
        <v>Rau-TS</v>
      </c>
      <c r="P104" s="376" t="str">
        <f t="shared" si="62"/>
        <v>LS-TS</v>
      </c>
      <c r="Q104" s="376" t="str">
        <f t="shared" si="62"/>
        <v>TS-TS</v>
      </c>
      <c r="R104" s="376" t="str">
        <f t="shared" si="62"/>
        <v>TS-ISC</v>
      </c>
      <c r="S104" s="376" t="str">
        <f t="shared" si="62"/>
        <v>ISC-ISC</v>
      </c>
      <c r="T104" s="376" t="str">
        <f t="shared" si="62"/>
        <v>ISC-IN</v>
      </c>
      <c r="U104" s="376" t="str">
        <f t="shared" si="62"/>
        <v>TS-IN</v>
      </c>
      <c r="V104" s="376" t="str">
        <f>V86</f>
        <v>TS-IGW</v>
      </c>
      <c r="W104" s="376" t="str">
        <f>W86</f>
        <v>LS-LS</v>
      </c>
      <c r="Y104" s="92" t="s">
        <v>573</v>
      </c>
    </row>
    <row r="105" spans="1:31" ht="12.75">
      <c r="A105" s="83"/>
      <c r="B105" s="85"/>
      <c r="C105" s="291" t="str">
        <f>'C. Masterfiles'!C84</f>
        <v>S01</v>
      </c>
      <c r="D105" s="291" t="str">
        <f>'C. Masterfiles'!D84</f>
        <v>On-net local calls</v>
      </c>
      <c r="E105" s="408">
        <f aca="true" t="shared" si="63" ref="E105:U105">E16*$Y105/(IF(SUMPRODUCT(E$16:E$28,$Y$105:$Y$117)=0,1,SUMPRODUCT(E$16:E$28,$Y$105:$Y$117)))</f>
        <v>0.7926691968906857</v>
      </c>
      <c r="F105" s="408">
        <f t="shared" si="63"/>
        <v>0.7926691968906857</v>
      </c>
      <c r="G105" s="408">
        <f t="shared" si="63"/>
        <v>0.7212549244974149</v>
      </c>
      <c r="H105" s="408">
        <f t="shared" si="63"/>
        <v>0.3273299089273336</v>
      </c>
      <c r="I105" s="408">
        <f t="shared" si="63"/>
        <v>0</v>
      </c>
      <c r="J105" s="408">
        <f t="shared" si="63"/>
        <v>0</v>
      </c>
      <c r="K105" s="408">
        <f t="shared" si="63"/>
        <v>0.8373624799925721</v>
      </c>
      <c r="L105" s="408">
        <f t="shared" si="63"/>
        <v>0</v>
      </c>
      <c r="M105" s="408">
        <f t="shared" si="63"/>
        <v>0.6828972643519737</v>
      </c>
      <c r="N105" s="408">
        <f t="shared" si="63"/>
        <v>0.6828972643519737</v>
      </c>
      <c r="O105" s="408">
        <f t="shared" si="63"/>
        <v>0.830647148570856</v>
      </c>
      <c r="P105" s="408">
        <f t="shared" si="63"/>
        <v>0.830647148570856</v>
      </c>
      <c r="Q105" s="408">
        <f t="shared" si="63"/>
        <v>1</v>
      </c>
      <c r="R105" s="408">
        <f t="shared" si="63"/>
        <v>0.2793609663347391</v>
      </c>
      <c r="S105" s="408">
        <f t="shared" si="63"/>
        <v>0</v>
      </c>
      <c r="T105" s="408">
        <f t="shared" si="63"/>
        <v>0</v>
      </c>
      <c r="U105" s="408">
        <f t="shared" si="63"/>
        <v>0</v>
      </c>
      <c r="V105" s="408">
        <f aca="true" t="shared" si="64" ref="V105:W116">V16*$Y105/(IF(SUMPRODUCT(V$16:V$28,$Y$105:$Y$117)=0,1,SUMPRODUCT(V$16:V$28,$Y$105:$Y$117)))</f>
        <v>0</v>
      </c>
      <c r="W105" s="408">
        <f t="shared" si="64"/>
        <v>1</v>
      </c>
      <c r="Y105" s="344">
        <f>'6.Network Design'!K37</f>
        <v>16913.033130666667</v>
      </c>
      <c r="Z105" s="226"/>
      <c r="AA105" s="104"/>
      <c r="AB105" s="104"/>
      <c r="AC105" s="104"/>
      <c r="AD105" s="104"/>
      <c r="AE105" s="104"/>
    </row>
    <row r="106" spans="1:31" ht="12.75" outlineLevel="1">
      <c r="A106" s="83"/>
      <c r="B106" s="85"/>
      <c r="C106" s="291" t="str">
        <f>'C. Masterfiles'!C85</f>
        <v>S02</v>
      </c>
      <c r="D106" s="291" t="str">
        <f>'C. Masterfiles'!D85</f>
        <v>On-net national calls</v>
      </c>
      <c r="E106" s="408">
        <f aca="true" t="shared" si="65" ref="E106:U106">E17*$Y106/(IF(SUMPRODUCT(E$16:E$28,$Y$105:$Y$117)=0,1,SUMPRODUCT(E$16:E$28,$Y$105:$Y$117)))</f>
        <v>0.09144183964397413</v>
      </c>
      <c r="F106" s="408">
        <f t="shared" si="65"/>
        <v>0.09144183964397413</v>
      </c>
      <c r="G106" s="408">
        <f t="shared" si="65"/>
        <v>0.1109380431030165</v>
      </c>
      <c r="H106" s="408">
        <f t="shared" si="65"/>
        <v>0.11328174158988165</v>
      </c>
      <c r="I106" s="408">
        <f t="shared" si="65"/>
        <v>0</v>
      </c>
      <c r="J106" s="408">
        <f t="shared" si="65"/>
        <v>0</v>
      </c>
      <c r="K106" s="408">
        <f t="shared" si="65"/>
        <v>0.09659762978013231</v>
      </c>
      <c r="L106" s="408">
        <f t="shared" si="65"/>
        <v>0</v>
      </c>
      <c r="M106" s="408">
        <f t="shared" si="65"/>
        <v>0.07877861582754732</v>
      </c>
      <c r="N106" s="408">
        <f t="shared" si="65"/>
        <v>0.07877861582754732</v>
      </c>
      <c r="O106" s="408">
        <f t="shared" si="65"/>
        <v>0.04791147660227258</v>
      </c>
      <c r="P106" s="408">
        <f t="shared" si="65"/>
        <v>0.04791147660227258</v>
      </c>
      <c r="Q106" s="408">
        <f t="shared" si="65"/>
        <v>0</v>
      </c>
      <c r="R106" s="408">
        <f t="shared" si="65"/>
        <v>0.3222691229401933</v>
      </c>
      <c r="S106" s="408">
        <f t="shared" si="65"/>
        <v>0.28963029639469434</v>
      </c>
      <c r="T106" s="408">
        <f t="shared" si="65"/>
        <v>0</v>
      </c>
      <c r="U106" s="408">
        <f t="shared" si="65"/>
        <v>0</v>
      </c>
      <c r="V106" s="408">
        <f t="shared" si="64"/>
        <v>0</v>
      </c>
      <c r="W106" s="408">
        <f t="shared" si="64"/>
        <v>0</v>
      </c>
      <c r="Y106" s="344">
        <f>'6.Network Design'!K38</f>
        <v>1951.0772835555558</v>
      </c>
      <c r="Z106" s="226"/>
      <c r="AA106" s="104"/>
      <c r="AB106" s="104"/>
      <c r="AC106" s="104"/>
      <c r="AD106" s="104"/>
      <c r="AE106" s="104"/>
    </row>
    <row r="107" spans="1:31" ht="12.75" outlineLevel="1">
      <c r="A107" s="83"/>
      <c r="B107" s="85"/>
      <c r="C107" s="291" t="str">
        <f>'C. Masterfiles'!C86</f>
        <v>S03</v>
      </c>
      <c r="D107" s="291" t="str">
        <f>'C. Masterfiles'!D86</f>
        <v>Originating calls (local)</v>
      </c>
      <c r="E107" s="408">
        <f aca="true" t="shared" si="66" ref="E107:U107">E18*$Y107/(IF(SUMPRODUCT(E$16:E$28,$Y$105:$Y$117)=0,1,SUMPRODUCT(E$16:E$28,$Y$105:$Y$117)))</f>
        <v>0.010251156374590639</v>
      </c>
      <c r="F107" s="408">
        <f t="shared" si="66"/>
        <v>0.010251156374590639</v>
      </c>
      <c r="G107" s="408">
        <f t="shared" si="66"/>
        <v>0.012436792962257965</v>
      </c>
      <c r="H107" s="408">
        <f t="shared" si="66"/>
        <v>0</v>
      </c>
      <c r="I107" s="408">
        <f t="shared" si="66"/>
        <v>0.10493562009848778</v>
      </c>
      <c r="J107" s="408">
        <f t="shared" si="66"/>
        <v>0</v>
      </c>
      <c r="K107" s="408">
        <f t="shared" si="66"/>
        <v>0.021658300229881803</v>
      </c>
      <c r="L107" s="408">
        <f t="shared" si="66"/>
        <v>0</v>
      </c>
      <c r="M107" s="408">
        <f t="shared" si="66"/>
        <v>0.017663072242777356</v>
      </c>
      <c r="N107" s="408">
        <f t="shared" si="66"/>
        <v>0.017663072242777356</v>
      </c>
      <c r="O107" s="408">
        <f t="shared" si="66"/>
        <v>0.010742304413378076</v>
      </c>
      <c r="P107" s="408">
        <f t="shared" si="66"/>
        <v>0.010742304413378076</v>
      </c>
      <c r="Q107" s="408">
        <f t="shared" si="66"/>
        <v>0</v>
      </c>
      <c r="R107" s="408">
        <f t="shared" si="66"/>
        <v>0</v>
      </c>
      <c r="S107" s="408">
        <f t="shared" si="66"/>
        <v>0</v>
      </c>
      <c r="T107" s="408">
        <f t="shared" si="66"/>
        <v>0</v>
      </c>
      <c r="U107" s="408">
        <f t="shared" si="66"/>
        <v>0</v>
      </c>
      <c r="V107" s="408">
        <f t="shared" si="64"/>
        <v>0.21486627497094815</v>
      </c>
      <c r="W107" s="408">
        <f t="shared" si="64"/>
        <v>0</v>
      </c>
      <c r="Y107" s="344">
        <f>'6.Network Design'!K39</f>
        <v>437.4539797211428</v>
      </c>
      <c r="Z107" s="226"/>
      <c r="AA107" s="104"/>
      <c r="AB107" s="104"/>
      <c r="AC107" s="104"/>
      <c r="AD107" s="104"/>
      <c r="AE107" s="104"/>
    </row>
    <row r="108" spans="1:31" ht="12.75" outlineLevel="1">
      <c r="A108" s="83"/>
      <c r="B108" s="85"/>
      <c r="C108" s="291" t="str">
        <f>'C. Masterfiles'!C87</f>
        <v>S04</v>
      </c>
      <c r="D108" s="291" t="str">
        <f>'C. Masterfiles'!D87</f>
        <v>Originating calls (national) </v>
      </c>
      <c r="E108" s="408">
        <f aca="true" t="shared" si="67" ref="E108:U108">E19*$Y108/(IF(SUMPRODUCT(E$16:E$28,$Y$105:$Y$117)=0,1,SUMPRODUCT(E$16:E$28,$Y$105:$Y$117)))</f>
        <v>0.010516064469708633</v>
      </c>
      <c r="F108" s="408">
        <f t="shared" si="67"/>
        <v>0.010516064469708633</v>
      </c>
      <c r="G108" s="408">
        <f t="shared" si="67"/>
        <v>0.012758181790271057</v>
      </c>
      <c r="H108" s="408">
        <f t="shared" si="67"/>
        <v>0.04342571199494208</v>
      </c>
      <c r="I108" s="408">
        <f t="shared" si="67"/>
        <v>0.10764734297291578</v>
      </c>
      <c r="J108" s="408">
        <f t="shared" si="67"/>
        <v>0</v>
      </c>
      <c r="K108" s="408">
        <f t="shared" si="67"/>
        <v>0.022217989190593878</v>
      </c>
      <c r="L108" s="408">
        <f t="shared" si="67"/>
        <v>0</v>
      </c>
      <c r="M108" s="408">
        <f t="shared" si="67"/>
        <v>0.018119517413525472</v>
      </c>
      <c r="N108" s="408">
        <f t="shared" si="67"/>
        <v>0.018119517413525472</v>
      </c>
      <c r="O108" s="408">
        <f t="shared" si="67"/>
        <v>0.011019904646497068</v>
      </c>
      <c r="P108" s="408">
        <f t="shared" si="67"/>
        <v>0.011019904646497068</v>
      </c>
      <c r="Q108" s="408">
        <f t="shared" si="67"/>
        <v>0</v>
      </c>
      <c r="R108" s="408">
        <f t="shared" si="67"/>
        <v>0.037061840472922505</v>
      </c>
      <c r="S108" s="408">
        <f t="shared" si="67"/>
        <v>0</v>
      </c>
      <c r="T108" s="408">
        <f t="shared" si="67"/>
        <v>0</v>
      </c>
      <c r="U108" s="408">
        <f t="shared" si="67"/>
        <v>0</v>
      </c>
      <c r="V108" s="408">
        <f t="shared" si="64"/>
        <v>0</v>
      </c>
      <c r="W108" s="408">
        <f t="shared" si="64"/>
        <v>0</v>
      </c>
      <c r="Y108" s="344">
        <f>'6.Network Design'!K40</f>
        <v>448.7585678315101</v>
      </c>
      <c r="Z108" s="226"/>
      <c r="AA108" s="104"/>
      <c r="AB108" s="104"/>
      <c r="AC108" s="104"/>
      <c r="AD108" s="104"/>
      <c r="AE108" s="104"/>
    </row>
    <row r="109" spans="1:31" ht="12.75" outlineLevel="1">
      <c r="A109" s="83"/>
      <c r="B109" s="85"/>
      <c r="C109" s="291" t="str">
        <f>'C. Masterfiles'!C88</f>
        <v>S05</v>
      </c>
      <c r="D109" s="291" t="str">
        <f>'C. Masterfiles'!D88</f>
        <v>Originating calls (international)</v>
      </c>
      <c r="E109" s="408">
        <f aca="true" t="shared" si="68" ref="E109:U109">E20*$Y109/(IF(SUMPRODUCT(E$16:E$28,$Y$105:$Y$117)=0,1,SUMPRODUCT(E$16:E$28,$Y$105:$Y$117)))</f>
        <v>0.007059105627720872</v>
      </c>
      <c r="F109" s="408">
        <f t="shared" si="68"/>
        <v>0.007059105627720872</v>
      </c>
      <c r="G109" s="408">
        <f t="shared" si="68"/>
        <v>0.008564168956419843</v>
      </c>
      <c r="H109" s="408">
        <f t="shared" si="68"/>
        <v>0.02915032413639956</v>
      </c>
      <c r="I109" s="408">
        <f t="shared" si="68"/>
        <v>0</v>
      </c>
      <c r="J109" s="408">
        <f t="shared" si="68"/>
        <v>0</v>
      </c>
      <c r="K109" s="408">
        <f t="shared" si="68"/>
        <v>0.014914242203795492</v>
      </c>
      <c r="L109" s="408">
        <f t="shared" si="68"/>
        <v>0</v>
      </c>
      <c r="M109" s="408">
        <f t="shared" si="68"/>
        <v>0.012163066108413457</v>
      </c>
      <c r="N109" s="408">
        <f t="shared" si="68"/>
        <v>0.012163066108413457</v>
      </c>
      <c r="O109" s="408">
        <f t="shared" si="68"/>
        <v>0.007397317801836392</v>
      </c>
      <c r="P109" s="408">
        <f t="shared" si="68"/>
        <v>0.007397317801836392</v>
      </c>
      <c r="Q109" s="408">
        <f t="shared" si="68"/>
        <v>0</v>
      </c>
      <c r="R109" s="408">
        <f t="shared" si="68"/>
        <v>0.024878455948012006</v>
      </c>
      <c r="S109" s="408">
        <f t="shared" si="68"/>
        <v>0</v>
      </c>
      <c r="T109" s="408">
        <f t="shared" si="68"/>
        <v>0</v>
      </c>
      <c r="U109" s="408">
        <f t="shared" si="68"/>
        <v>0</v>
      </c>
      <c r="V109" s="408">
        <f t="shared" si="64"/>
        <v>0</v>
      </c>
      <c r="W109" s="408">
        <f t="shared" si="64"/>
        <v>0</v>
      </c>
      <c r="Y109" s="344">
        <f>'6.Network Design'!K41</f>
        <v>301.2376104</v>
      </c>
      <c r="Z109" s="226"/>
      <c r="AA109" s="104"/>
      <c r="AB109" s="104"/>
      <c r="AC109" s="104"/>
      <c r="AD109" s="104"/>
      <c r="AE109" s="104"/>
    </row>
    <row r="110" spans="1:31" ht="12.75" outlineLevel="1">
      <c r="A110" s="83"/>
      <c r="B110" s="85"/>
      <c r="C110" s="291" t="str">
        <f>'C. Masterfiles'!C89</f>
        <v>S06</v>
      </c>
      <c r="D110" s="291" t="str">
        <f>'C. Masterfiles'!D89</f>
        <v>Terminating calls (local)</v>
      </c>
      <c r="E110" s="408">
        <f aca="true" t="shared" si="69" ref="E110:U110">E21*$Y110/(IF(SUMPRODUCT(E$16:E$28,$Y$105:$Y$117)=0,1,SUMPRODUCT(E$16:E$28,$Y$105:$Y$117)))</f>
        <v>0.01503058088173163</v>
      </c>
      <c r="F110" s="408">
        <f t="shared" si="69"/>
        <v>0.01503058088173163</v>
      </c>
      <c r="G110" s="408">
        <f t="shared" si="69"/>
        <v>0.01823523275792716</v>
      </c>
      <c r="H110" s="408">
        <f t="shared" si="69"/>
        <v>0</v>
      </c>
      <c r="I110" s="408">
        <f t="shared" si="69"/>
        <v>0.15386003955363212</v>
      </c>
      <c r="J110" s="408">
        <f t="shared" si="69"/>
        <v>0</v>
      </c>
      <c r="K110" s="408">
        <f t="shared" si="69"/>
        <v>0</v>
      </c>
      <c r="L110" s="408">
        <f t="shared" si="69"/>
        <v>0.140395101146149</v>
      </c>
      <c r="M110" s="408">
        <f t="shared" si="69"/>
        <v>0.025898174436494795</v>
      </c>
      <c r="N110" s="408">
        <f t="shared" si="69"/>
        <v>0.025898174436494795</v>
      </c>
      <c r="O110" s="408">
        <f t="shared" si="69"/>
        <v>0.01575071820596528</v>
      </c>
      <c r="P110" s="408">
        <f t="shared" si="69"/>
        <v>0.01575071820596528</v>
      </c>
      <c r="Q110" s="408">
        <f t="shared" si="69"/>
        <v>0</v>
      </c>
      <c r="R110" s="408">
        <f t="shared" si="69"/>
        <v>0</v>
      </c>
      <c r="S110" s="408">
        <f t="shared" si="69"/>
        <v>0</v>
      </c>
      <c r="T110" s="408">
        <f t="shared" si="69"/>
        <v>0</v>
      </c>
      <c r="U110" s="408">
        <f t="shared" si="69"/>
        <v>0</v>
      </c>
      <c r="V110" s="408">
        <f t="shared" si="64"/>
        <v>0.31504396252429534</v>
      </c>
      <c r="W110" s="408">
        <f t="shared" si="64"/>
        <v>0</v>
      </c>
      <c r="Y110" s="344">
        <f>'6.Network Design'!K42</f>
        <v>641.4093380266665</v>
      </c>
      <c r="Z110" s="226"/>
      <c r="AA110" s="104"/>
      <c r="AB110" s="104"/>
      <c r="AC110" s="104"/>
      <c r="AD110" s="104"/>
      <c r="AE110" s="104"/>
    </row>
    <row r="111" spans="1:31" ht="12.75" outlineLevel="1">
      <c r="A111" s="83"/>
      <c r="B111" s="85"/>
      <c r="C111" s="291" t="str">
        <f>'C. Masterfiles'!C90</f>
        <v>S07</v>
      </c>
      <c r="D111" s="291" t="str">
        <f>'C. Masterfiles'!D90</f>
        <v>Terminating calls (national) </v>
      </c>
      <c r="E111" s="408">
        <f aca="true" t="shared" si="70" ref="E111:U111">E22*$Y111/(IF(SUMPRODUCT(E$16:E$28,$Y$105:$Y$117)=0,1,SUMPRODUCT(E$16:E$28,$Y$105:$Y$117)))</f>
        <v>0.01703668874729199</v>
      </c>
      <c r="F111" s="408">
        <f t="shared" si="70"/>
        <v>0.01703668874729199</v>
      </c>
      <c r="G111" s="408">
        <f t="shared" si="70"/>
        <v>0.02066906044255535</v>
      </c>
      <c r="H111" s="408">
        <f t="shared" si="70"/>
        <v>0.07035239666116946</v>
      </c>
      <c r="I111" s="408">
        <f t="shared" si="70"/>
        <v>0.17439549576604763</v>
      </c>
      <c r="J111" s="408">
        <f t="shared" si="70"/>
        <v>0</v>
      </c>
      <c r="K111" s="408">
        <f t="shared" si="70"/>
        <v>0</v>
      </c>
      <c r="L111" s="408">
        <f t="shared" si="70"/>
        <v>0.15913341331861802</v>
      </c>
      <c r="M111" s="408">
        <f t="shared" si="70"/>
        <v>0.029354762831149104</v>
      </c>
      <c r="N111" s="408">
        <f t="shared" si="70"/>
        <v>0.029354762831149104</v>
      </c>
      <c r="O111" s="408">
        <f t="shared" si="70"/>
        <v>0.017852941661588073</v>
      </c>
      <c r="P111" s="408">
        <f t="shared" si="70"/>
        <v>0.017852941661588073</v>
      </c>
      <c r="Q111" s="408">
        <f t="shared" si="70"/>
        <v>0</v>
      </c>
      <c r="R111" s="408">
        <f t="shared" si="70"/>
        <v>0.060042522785756954</v>
      </c>
      <c r="S111" s="408">
        <f t="shared" si="70"/>
        <v>0</v>
      </c>
      <c r="T111" s="408">
        <f t="shared" si="70"/>
        <v>0</v>
      </c>
      <c r="U111" s="408">
        <f t="shared" si="70"/>
        <v>0</v>
      </c>
      <c r="V111" s="408">
        <f t="shared" si="64"/>
        <v>0</v>
      </c>
      <c r="W111" s="408">
        <f t="shared" si="64"/>
        <v>0</v>
      </c>
      <c r="Y111" s="344">
        <f>'6.Network Design'!K43</f>
        <v>727.017228246204</v>
      </c>
      <c r="Z111" s="226"/>
      <c r="AA111" s="104"/>
      <c r="AB111" s="104"/>
      <c r="AC111" s="104"/>
      <c r="AD111" s="104"/>
      <c r="AE111" s="104"/>
    </row>
    <row r="112" spans="1:31" ht="12.75" outlineLevel="1">
      <c r="A112" s="83"/>
      <c r="B112" s="85"/>
      <c r="C112" s="291" t="str">
        <f>'C. Masterfiles'!C91</f>
        <v>S08</v>
      </c>
      <c r="D112" s="291" t="str">
        <f>'C. Masterfiles'!D91</f>
        <v>Terminating calls (international)</v>
      </c>
      <c r="E112" s="408">
        <f aca="true" t="shared" si="71" ref="E112:U112">E23*$Y112/(IF(SUMPRODUCT(E$16:E$28,$Y$105:$Y$117)=0,1,SUMPRODUCT(E$16:E$28,$Y$105:$Y$117)))</f>
        <v>0.052564151254707404</v>
      </c>
      <c r="F112" s="408">
        <f t="shared" si="71"/>
        <v>0.052564151254707404</v>
      </c>
      <c r="G112" s="408">
        <f t="shared" si="71"/>
        <v>0.06377129003826298</v>
      </c>
      <c r="H112" s="408">
        <f t="shared" si="71"/>
        <v>0.21706178202126802</v>
      </c>
      <c r="I112" s="408">
        <f t="shared" si="71"/>
        <v>0</v>
      </c>
      <c r="J112" s="408">
        <f t="shared" si="71"/>
        <v>0</v>
      </c>
      <c r="K112" s="408">
        <f t="shared" si="71"/>
        <v>0</v>
      </c>
      <c r="L112" s="408">
        <f t="shared" si="71"/>
        <v>0.49098231067274106</v>
      </c>
      <c r="M112" s="408">
        <f t="shared" si="71"/>
        <v>0.09056972375267747</v>
      </c>
      <c r="N112" s="408">
        <f t="shared" si="71"/>
        <v>0.09056972375267747</v>
      </c>
      <c r="O112" s="408">
        <f t="shared" si="71"/>
        <v>0.055082577357665634</v>
      </c>
      <c r="P112" s="408">
        <f t="shared" si="71"/>
        <v>0.055082577357665634</v>
      </c>
      <c r="Q112" s="408">
        <f t="shared" si="71"/>
        <v>0</v>
      </c>
      <c r="R112" s="408">
        <f t="shared" si="71"/>
        <v>0.1852522104641026</v>
      </c>
      <c r="S112" s="408">
        <f t="shared" si="71"/>
        <v>0</v>
      </c>
      <c r="T112" s="408">
        <f t="shared" si="71"/>
        <v>0</v>
      </c>
      <c r="U112" s="408">
        <f t="shared" si="71"/>
        <v>0</v>
      </c>
      <c r="V112" s="408">
        <f t="shared" si="64"/>
        <v>0</v>
      </c>
      <c r="W112" s="408">
        <f t="shared" si="64"/>
        <v>0</v>
      </c>
      <c r="Y112" s="344">
        <f>'6.Network Design'!K44</f>
        <v>2243.1027599999998</v>
      </c>
      <c r="Z112" s="226"/>
      <c r="AA112" s="104"/>
      <c r="AB112" s="104"/>
      <c r="AC112" s="104"/>
      <c r="AD112" s="104"/>
      <c r="AE112" s="104"/>
    </row>
    <row r="113" spans="1:31" ht="12.75" outlineLevel="1">
      <c r="A113" s="83"/>
      <c r="B113" s="85"/>
      <c r="C113" s="291" t="str">
        <f>'C. Masterfiles'!C92</f>
        <v>S09</v>
      </c>
      <c r="D113" s="291" t="str">
        <f>'C. Masterfiles'!D92</f>
        <v>Transit calls</v>
      </c>
      <c r="E113" s="408">
        <f aca="true" t="shared" si="72" ref="E113:U113">E24*$Y113/(IF(SUMPRODUCT(E$16:E$28,$Y$105:$Y$117)=0,1,SUMPRODUCT(E$16:E$28,$Y$105:$Y$117)))</f>
        <v>0</v>
      </c>
      <c r="F113" s="408">
        <f t="shared" si="72"/>
        <v>0</v>
      </c>
      <c r="G113" s="408">
        <f t="shared" si="72"/>
        <v>0.027209523927099123</v>
      </c>
      <c r="H113" s="408">
        <f t="shared" si="72"/>
        <v>0.1852290505029068</v>
      </c>
      <c r="I113" s="408">
        <f t="shared" si="72"/>
        <v>0.4591615016089166</v>
      </c>
      <c r="J113" s="408">
        <f t="shared" si="72"/>
        <v>0</v>
      </c>
      <c r="K113" s="408">
        <f t="shared" si="72"/>
        <v>0</v>
      </c>
      <c r="L113" s="408">
        <f t="shared" si="72"/>
        <v>0.20948917486249188</v>
      </c>
      <c r="M113" s="408">
        <f t="shared" si="72"/>
        <v>0.03864370728647031</v>
      </c>
      <c r="N113" s="408">
        <f t="shared" si="72"/>
        <v>0.03864370728647031</v>
      </c>
      <c r="O113" s="408">
        <f t="shared" si="72"/>
        <v>0</v>
      </c>
      <c r="P113" s="408">
        <f t="shared" si="72"/>
        <v>0</v>
      </c>
      <c r="Q113" s="408">
        <f t="shared" si="72"/>
        <v>0</v>
      </c>
      <c r="R113" s="408">
        <f t="shared" si="72"/>
        <v>0.07904222182343512</v>
      </c>
      <c r="S113" s="408">
        <f t="shared" si="72"/>
        <v>0.7103697036053056</v>
      </c>
      <c r="T113" s="408">
        <f t="shared" si="72"/>
        <v>0</v>
      </c>
      <c r="U113" s="408">
        <f t="shared" si="72"/>
        <v>0</v>
      </c>
      <c r="V113" s="408">
        <f t="shared" si="64"/>
        <v>0.4700897625047564</v>
      </c>
      <c r="W113" s="408">
        <f t="shared" si="64"/>
        <v>0</v>
      </c>
      <c r="Y113" s="344">
        <f>'6.Network Design'!K45</f>
        <v>957.0726604799999</v>
      </c>
      <c r="Z113" s="226"/>
      <c r="AA113" s="104"/>
      <c r="AB113" s="104"/>
      <c r="AC113" s="104"/>
      <c r="AD113" s="104"/>
      <c r="AE113" s="104"/>
    </row>
    <row r="114" spans="1:31" ht="12.75" outlineLevel="1">
      <c r="A114" s="83"/>
      <c r="B114" s="85"/>
      <c r="C114" s="291" t="str">
        <f>'C. Masterfiles'!C93</f>
        <v>S10</v>
      </c>
      <c r="D114" s="291" t="str">
        <f>'C. Masterfiles'!D93</f>
        <v>Calls to directory enquiries, emergency &amp; helpdesk</v>
      </c>
      <c r="E114" s="408">
        <f aca="true" t="shared" si="73" ref="E114:U114">E25*$Y114/(IF(SUMPRODUCT(E$16:E$28,$Y$105:$Y$117)=0,1,SUMPRODUCT(E$16:E$28,$Y$105:$Y$117)))</f>
        <v>0.0004908554780094601</v>
      </c>
      <c r="F114" s="408">
        <f t="shared" si="73"/>
        <v>0.0004908554780094601</v>
      </c>
      <c r="G114" s="408">
        <f t="shared" si="73"/>
        <v>0.0005955101777127658</v>
      </c>
      <c r="H114" s="408">
        <f t="shared" si="73"/>
        <v>0.0020269701351278454</v>
      </c>
      <c r="I114" s="408">
        <f t="shared" si="73"/>
        <v>0</v>
      </c>
      <c r="J114" s="408">
        <f t="shared" si="73"/>
        <v>0.6754252704460524</v>
      </c>
      <c r="K114" s="408">
        <f t="shared" si="73"/>
        <v>0.0010370630320850574</v>
      </c>
      <c r="L114" s="408">
        <f t="shared" si="73"/>
        <v>0</v>
      </c>
      <c r="M114" s="408">
        <f t="shared" si="73"/>
        <v>0.0008457597808510972</v>
      </c>
      <c r="N114" s="408">
        <f t="shared" si="73"/>
        <v>0.0008457597808510972</v>
      </c>
      <c r="O114" s="408">
        <f t="shared" si="73"/>
        <v>0.0005143730887592077</v>
      </c>
      <c r="P114" s="408">
        <f t="shared" si="73"/>
        <v>0.0005143730887592077</v>
      </c>
      <c r="Q114" s="408">
        <f t="shared" si="73"/>
        <v>0</v>
      </c>
      <c r="R114" s="408">
        <f t="shared" si="73"/>
        <v>0.0017299254368065677</v>
      </c>
      <c r="S114" s="408">
        <f t="shared" si="73"/>
        <v>0</v>
      </c>
      <c r="T114" s="408">
        <f t="shared" si="73"/>
        <v>0.6754252704460524</v>
      </c>
      <c r="U114" s="408">
        <f t="shared" si="73"/>
        <v>0.6754252704460524</v>
      </c>
      <c r="V114" s="408">
        <f t="shared" si="64"/>
        <v>0</v>
      </c>
      <c r="W114" s="408">
        <f t="shared" si="64"/>
        <v>0</v>
      </c>
      <c r="Y114" s="344">
        <f>'6.Network Design'!K46</f>
        <v>20.946581485714283</v>
      </c>
      <c r="Z114" s="226"/>
      <c r="AA114" s="104"/>
      <c r="AB114" s="104"/>
      <c r="AC114" s="104"/>
      <c r="AD114" s="104"/>
      <c r="AE114" s="104"/>
    </row>
    <row r="115" spans="1:31" ht="12.75" outlineLevel="1">
      <c r="A115" s="83"/>
      <c r="B115" s="85"/>
      <c r="C115" s="291" t="str">
        <f>'C. Masterfiles'!C94</f>
        <v>S11</v>
      </c>
      <c r="D115" s="291" t="str">
        <f>'C. Masterfiles'!D94</f>
        <v>Calls to non-geographic numbers</v>
      </c>
      <c r="E115" s="408">
        <f aca="true" t="shared" si="74" ref="E115:U115">E26*$Y115/(IF(SUMPRODUCT(E$16:E$28,$Y$105:$Y$117)=0,1,SUMPRODUCT(E$16:E$28,$Y$105:$Y$117)))</f>
        <v>0.0002358799574078409</v>
      </c>
      <c r="F115" s="408">
        <f t="shared" si="74"/>
        <v>0.0002358799574078409</v>
      </c>
      <c r="G115" s="408">
        <f t="shared" si="74"/>
        <v>0.00028617163635304426</v>
      </c>
      <c r="H115" s="408">
        <f t="shared" si="74"/>
        <v>0.0009740578450500799</v>
      </c>
      <c r="I115" s="408">
        <f t="shared" si="74"/>
        <v>0</v>
      </c>
      <c r="J115" s="408">
        <f t="shared" si="74"/>
        <v>0.32457472955394767</v>
      </c>
      <c r="K115" s="408">
        <f t="shared" si="74"/>
        <v>0.0004983592825111654</v>
      </c>
      <c r="L115" s="408">
        <f t="shared" si="74"/>
        <v>0</v>
      </c>
      <c r="M115" s="408">
        <f t="shared" si="74"/>
        <v>0.00040642875555435234</v>
      </c>
      <c r="N115" s="408">
        <f t="shared" si="74"/>
        <v>0.00040642875555435234</v>
      </c>
      <c r="O115" s="408">
        <f t="shared" si="74"/>
        <v>0.00024718131446813173</v>
      </c>
      <c r="P115" s="408">
        <f t="shared" si="74"/>
        <v>0.00024718131446813173</v>
      </c>
      <c r="Q115" s="408">
        <f t="shared" si="74"/>
        <v>0</v>
      </c>
      <c r="R115" s="408">
        <f t="shared" si="74"/>
        <v>0.0008313134041152727</v>
      </c>
      <c r="S115" s="408">
        <f t="shared" si="74"/>
        <v>0</v>
      </c>
      <c r="T115" s="408">
        <f t="shared" si="74"/>
        <v>0.32457472955394767</v>
      </c>
      <c r="U115" s="408">
        <f t="shared" si="74"/>
        <v>0.32457472955394767</v>
      </c>
      <c r="V115" s="408">
        <f t="shared" si="64"/>
        <v>0</v>
      </c>
      <c r="W115" s="408">
        <f t="shared" si="64"/>
        <v>0</v>
      </c>
      <c r="Y115" s="344">
        <f>'6.Network Design'!K47</f>
        <v>10.065852313040558</v>
      </c>
      <c r="Z115" s="226"/>
      <c r="AA115" s="104"/>
      <c r="AB115" s="104"/>
      <c r="AC115" s="104"/>
      <c r="AD115" s="104"/>
      <c r="AE115" s="104"/>
    </row>
    <row r="116" spans="1:31" ht="12.75" outlineLevel="1">
      <c r="A116" s="83"/>
      <c r="B116" s="85"/>
      <c r="C116" s="291" t="str">
        <f>'C. Masterfiles'!C95</f>
        <v>S12</v>
      </c>
      <c r="D116" s="291" t="str">
        <f>'C. Masterfiles'!D95</f>
        <v>Internet dial-up calls</v>
      </c>
      <c r="E116" s="408">
        <f aca="true" t="shared" si="75" ref="E116:U116">E27*$Y116/(IF(SUMPRODUCT(E$16:E$28,$Y$105:$Y$117)=0,1,SUMPRODUCT(E$16:E$28,$Y$105:$Y$117)))</f>
        <v>0.0027044806741718303</v>
      </c>
      <c r="F116" s="408">
        <f t="shared" si="75"/>
        <v>0.0027044806741718303</v>
      </c>
      <c r="G116" s="408">
        <f t="shared" si="75"/>
        <v>0.0032810997107090806</v>
      </c>
      <c r="H116" s="408">
        <f t="shared" si="75"/>
        <v>0.011168056185920918</v>
      </c>
      <c r="I116" s="408">
        <f t="shared" si="75"/>
        <v>0</v>
      </c>
      <c r="J116" s="408">
        <f t="shared" si="75"/>
        <v>0</v>
      </c>
      <c r="K116" s="408">
        <f t="shared" si="75"/>
        <v>0.00571393628842831</v>
      </c>
      <c r="L116" s="408">
        <f t="shared" si="75"/>
        <v>0</v>
      </c>
      <c r="M116" s="408">
        <f t="shared" si="75"/>
        <v>0.004659907212565551</v>
      </c>
      <c r="N116" s="408">
        <f t="shared" si="75"/>
        <v>0.004659907212565551</v>
      </c>
      <c r="O116" s="408">
        <f t="shared" si="75"/>
        <v>0.002834056336713712</v>
      </c>
      <c r="P116" s="408">
        <f t="shared" si="75"/>
        <v>0.002834056336713712</v>
      </c>
      <c r="Q116" s="408">
        <f t="shared" si="75"/>
        <v>0</v>
      </c>
      <c r="R116" s="408">
        <f t="shared" si="75"/>
        <v>0.009531420389916593</v>
      </c>
      <c r="S116" s="408">
        <f t="shared" si="75"/>
        <v>0</v>
      </c>
      <c r="T116" s="408">
        <f t="shared" si="75"/>
        <v>0</v>
      </c>
      <c r="U116" s="408">
        <f t="shared" si="75"/>
        <v>0</v>
      </c>
      <c r="V116" s="408">
        <f t="shared" si="64"/>
        <v>0</v>
      </c>
      <c r="W116" s="408">
        <f t="shared" si="64"/>
        <v>0</v>
      </c>
      <c r="Y116" s="344">
        <f>'6.Network Design'!K48</f>
        <v>115.40998798222222</v>
      </c>
      <c r="Z116" s="226"/>
      <c r="AA116" s="104"/>
      <c r="AB116" s="104"/>
      <c r="AC116" s="104"/>
      <c r="AD116" s="104"/>
      <c r="AE116" s="104"/>
    </row>
    <row r="117" spans="1:31" ht="12.75" outlineLevel="1">
      <c r="A117" s="83"/>
      <c r="B117" s="85"/>
      <c r="C117" s="291" t="str">
        <f>'C. Masterfiles'!C96</f>
        <v>End</v>
      </c>
      <c r="D117" s="90" t="s">
        <v>635</v>
      </c>
      <c r="E117" s="378">
        <f aca="true" t="shared" si="76" ref="E117:U117">SUM(E105:E116)</f>
        <v>1</v>
      </c>
      <c r="F117" s="378">
        <f t="shared" si="76"/>
        <v>1</v>
      </c>
      <c r="G117" s="378">
        <f t="shared" si="76"/>
        <v>0.9999999999999998</v>
      </c>
      <c r="H117" s="378">
        <f t="shared" si="76"/>
        <v>1</v>
      </c>
      <c r="I117" s="378">
        <f t="shared" si="76"/>
        <v>1</v>
      </c>
      <c r="J117" s="378">
        <f t="shared" si="76"/>
        <v>1</v>
      </c>
      <c r="K117" s="378">
        <f t="shared" si="76"/>
        <v>1</v>
      </c>
      <c r="L117" s="378">
        <f t="shared" si="76"/>
        <v>1</v>
      </c>
      <c r="M117" s="378">
        <f t="shared" si="76"/>
        <v>1</v>
      </c>
      <c r="N117" s="378">
        <f t="shared" si="76"/>
        <v>1</v>
      </c>
      <c r="O117" s="378">
        <f t="shared" si="76"/>
        <v>1</v>
      </c>
      <c r="P117" s="378">
        <f t="shared" si="76"/>
        <v>1</v>
      </c>
      <c r="Q117" s="378">
        <f t="shared" si="76"/>
        <v>1</v>
      </c>
      <c r="R117" s="378">
        <f t="shared" si="76"/>
        <v>1</v>
      </c>
      <c r="S117" s="378">
        <f t="shared" si="76"/>
        <v>1</v>
      </c>
      <c r="T117" s="378">
        <f t="shared" si="76"/>
        <v>1</v>
      </c>
      <c r="U117" s="378">
        <f t="shared" si="76"/>
        <v>1</v>
      </c>
      <c r="V117" s="378">
        <f>SUM(V105:V116)</f>
        <v>0.9999999999999999</v>
      </c>
      <c r="W117" s="378">
        <f>SUM(W105:W116)</f>
        <v>1</v>
      </c>
      <c r="Y117" s="232">
        <f>SUM(Y105:Y116)</f>
        <v>24766.58498070872</v>
      </c>
      <c r="Z117" s="228" t="str">
        <f>IF(Y117='6.Network Design'!K$52,"Ok","Not Ok")</f>
        <v>Ok</v>
      </c>
      <c r="AA117" s="104"/>
      <c r="AB117" s="104"/>
      <c r="AC117" s="104"/>
      <c r="AD117" s="104"/>
      <c r="AE117" s="104"/>
    </row>
    <row r="118" spans="26:27" ht="12.75">
      <c r="Z118" s="228"/>
      <c r="AA118" s="217"/>
    </row>
    <row r="119" ht="12.75">
      <c r="Y119" s="226"/>
    </row>
    <row r="120" ht="12.75">
      <c r="Y120" s="226"/>
    </row>
    <row r="121" spans="1:31" ht="12.75">
      <c r="A121" s="83"/>
      <c r="B121" s="85"/>
      <c r="C121" s="57"/>
      <c r="D121" s="10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83"/>
      <c r="Y121" s="88"/>
      <c r="Z121" s="83"/>
      <c r="AA121" s="83"/>
      <c r="AB121" s="83"/>
      <c r="AC121" s="83"/>
      <c r="AD121" s="83"/>
      <c r="AE121" s="83"/>
    </row>
    <row r="122" ht="12.75">
      <c r="Y122" s="226"/>
    </row>
    <row r="123" ht="12.75">
      <c r="Y123" s="226"/>
    </row>
    <row r="124" ht="12.75">
      <c r="Y124" s="226"/>
    </row>
    <row r="125" ht="12.75">
      <c r="Y125" s="226"/>
    </row>
    <row r="126" ht="12.75">
      <c r="Y126" s="226"/>
    </row>
    <row r="127" ht="12.75">
      <c r="Y127" s="226"/>
    </row>
    <row r="128" ht="12.75">
      <c r="Y128" s="226"/>
    </row>
  </sheetData>
  <sheetProtection/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AE99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6.57421875" style="1" customWidth="1"/>
    <col min="2" max="2" width="15.7109375" style="1" customWidth="1"/>
    <col min="3" max="3" width="7.421875" style="1" customWidth="1"/>
    <col min="4" max="4" width="35.421875" style="1" customWidth="1"/>
    <col min="5" max="23" width="10.8515625" style="1" customWidth="1"/>
    <col min="24" max="24" width="9.140625" style="1" customWidth="1"/>
    <col min="25" max="25" width="14.140625" style="97" customWidth="1"/>
    <col min="26" max="28" width="14.140625" style="1" customWidth="1"/>
    <col min="29" max="16384" width="9.140625" style="1" customWidth="1"/>
  </cols>
  <sheetData>
    <row r="1" spans="1:25" s="277" customFormat="1" ht="23.25">
      <c r="A1" s="275">
        <v>9</v>
      </c>
      <c r="B1" s="276" t="s">
        <v>572</v>
      </c>
      <c r="D1" s="278"/>
      <c r="E1" s="279"/>
      <c r="F1" s="279"/>
      <c r="G1" s="279"/>
      <c r="H1" s="279"/>
      <c r="I1" s="279"/>
      <c r="J1" s="279"/>
      <c r="Y1" s="282"/>
    </row>
    <row r="2" ht="12.75">
      <c r="C2" s="126"/>
    </row>
    <row r="3" spans="2:8" ht="12.75">
      <c r="B3" s="598" t="s">
        <v>247</v>
      </c>
      <c r="C3" s="257" t="s">
        <v>299</v>
      </c>
      <c r="D3" s="280"/>
      <c r="E3" s="280"/>
      <c r="F3" s="280"/>
      <c r="G3" s="280"/>
      <c r="H3" s="280"/>
    </row>
    <row r="4" spans="2:8" ht="12.75">
      <c r="B4" s="599" t="s">
        <v>249</v>
      </c>
      <c r="C4" s="244" t="s">
        <v>255</v>
      </c>
      <c r="D4" s="243"/>
      <c r="E4" s="243"/>
      <c r="F4" s="243"/>
      <c r="G4" s="243"/>
      <c r="H4" s="243"/>
    </row>
    <row r="5" spans="2:8" ht="12.75">
      <c r="B5" s="600" t="s">
        <v>251</v>
      </c>
      <c r="C5" s="323" t="s">
        <v>170</v>
      </c>
      <c r="D5" s="324"/>
      <c r="E5" s="324"/>
      <c r="F5" s="324"/>
      <c r="G5" s="324"/>
      <c r="H5" s="324"/>
    </row>
    <row r="6" spans="2:8" ht="12.75">
      <c r="B6" s="600"/>
      <c r="C6" s="323" t="s">
        <v>171</v>
      </c>
      <c r="D6" s="324"/>
      <c r="E6" s="324"/>
      <c r="F6" s="324"/>
      <c r="G6" s="324"/>
      <c r="H6" s="324"/>
    </row>
    <row r="7" spans="2:8" ht="12.75">
      <c r="B7" s="601" t="s">
        <v>252</v>
      </c>
      <c r="C7" s="258" t="s">
        <v>300</v>
      </c>
      <c r="D7" s="281"/>
      <c r="E7" s="281"/>
      <c r="F7" s="281"/>
      <c r="G7" s="281"/>
      <c r="H7" s="281"/>
    </row>
    <row r="8" spans="2:8" ht="12.75">
      <c r="B8" s="602" t="s">
        <v>254</v>
      </c>
      <c r="C8" s="259" t="s">
        <v>172</v>
      </c>
      <c r="D8" s="255"/>
      <c r="E8" s="255"/>
      <c r="F8" s="255"/>
      <c r="G8" s="255"/>
      <c r="H8" s="255"/>
    </row>
    <row r="10" spans="1:31" ht="12.75">
      <c r="A10" s="83"/>
      <c r="B10" s="222">
        <f>A1+0.01</f>
        <v>9.01</v>
      </c>
      <c r="C10" s="57" t="s">
        <v>811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99"/>
      <c r="P10" s="99"/>
      <c r="Q10" s="99"/>
      <c r="R10" s="99"/>
      <c r="S10" s="99"/>
      <c r="T10" s="99"/>
      <c r="U10" s="99"/>
      <c r="V10" s="99"/>
      <c r="W10" s="99"/>
      <c r="X10" s="83"/>
      <c r="Y10" s="88"/>
      <c r="Z10" s="83"/>
      <c r="AA10" s="83"/>
      <c r="AB10" s="83"/>
      <c r="AC10" s="83"/>
      <c r="AD10" s="83"/>
      <c r="AE10" s="83"/>
    </row>
    <row r="11" ht="12.75">
      <c r="C11" s="57"/>
    </row>
    <row r="12" spans="3:27" s="88" customFormat="1" ht="143.25" customHeight="1">
      <c r="C12" s="103">
        <f>'8.Routing factors'!C32</f>
        <v>2008</v>
      </c>
      <c r="D12" s="103" t="str">
        <f>'8.Routing factors'!D32</f>
        <v>Service</v>
      </c>
      <c r="E12" s="225" t="str">
        <f>'8.Routing factors'!E32</f>
        <v>RAU</v>
      </c>
      <c r="F12" s="225" t="str">
        <f>'8.Routing factors'!F104</f>
        <v>LS</v>
      </c>
      <c r="G12" s="225" t="str">
        <f>'8.Routing factors'!G104</f>
        <v>TS</v>
      </c>
      <c r="H12" s="225" t="str">
        <f>'8.Routing factors'!H104</f>
        <v>ISC</v>
      </c>
      <c r="I12" s="225" t="str">
        <f>'8.Routing factors'!I104</f>
        <v>IGW</v>
      </c>
      <c r="J12" s="225" t="str">
        <f>'8.Routing factors'!J104</f>
        <v>IN</v>
      </c>
      <c r="K12" s="225" t="str">
        <f>'8.Routing factors'!K104</f>
        <v>RBIL</v>
      </c>
      <c r="L12" s="225" t="str">
        <f>'8.Routing factors'!L104</f>
        <v>IBIL</v>
      </c>
      <c r="M12" s="225" t="str">
        <f>'8.Routing factors'!M104</f>
        <v>NMS</v>
      </c>
      <c r="N12" s="225" t="str">
        <f>'8.Routing factors'!N104</f>
        <v>OSS</v>
      </c>
      <c r="O12" s="225" t="str">
        <f>'8.Routing factors'!O104</f>
        <v>Rau-TS</v>
      </c>
      <c r="P12" s="225" t="str">
        <f>'8.Routing factors'!P104</f>
        <v>LS-TS</v>
      </c>
      <c r="Q12" s="225" t="str">
        <f>'8.Routing factors'!Q104</f>
        <v>TS-TS</v>
      </c>
      <c r="R12" s="225" t="str">
        <f>'8.Routing factors'!R104</f>
        <v>TS-ISC</v>
      </c>
      <c r="S12" s="225" t="str">
        <f>'8.Routing factors'!S104</f>
        <v>ISC-ISC</v>
      </c>
      <c r="T12" s="225" t="str">
        <f>'8.Routing factors'!T104</f>
        <v>ISC-IN</v>
      </c>
      <c r="U12" s="225" t="str">
        <f>'8.Routing factors'!U104</f>
        <v>TS-IN</v>
      </c>
      <c r="V12" s="225" t="str">
        <f>'8.Routing factors'!V104</f>
        <v>TS-IGW</v>
      </c>
      <c r="W12" s="225" t="str">
        <f>'8.Routing factors'!W104</f>
        <v>LS-LS</v>
      </c>
      <c r="Y12" s="227" t="s">
        <v>760</v>
      </c>
      <c r="Z12" s="227" t="s">
        <v>576</v>
      </c>
      <c r="AA12" s="227" t="s">
        <v>675</v>
      </c>
    </row>
    <row r="13" spans="3:27" s="88" customFormat="1" ht="12.75" customHeight="1">
      <c r="C13" s="103"/>
      <c r="D13" s="103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Y13" s="227" t="str">
        <f>'C. Masterfiles'!D$110</f>
        <v>Euro</v>
      </c>
      <c r="Z13" s="227" t="str">
        <f>'2.Traffic'!E$16</f>
        <v>Millions</v>
      </c>
      <c r="AA13" s="227" t="str">
        <f>Y13</f>
        <v>Euro</v>
      </c>
    </row>
    <row r="14" spans="1:31" ht="12.75" customHeight="1">
      <c r="A14" s="83"/>
      <c r="B14" s="85"/>
      <c r="C14" s="291" t="str">
        <f>'C. Masterfiles'!C84</f>
        <v>S01</v>
      </c>
      <c r="D14" s="291" t="str">
        <f>'C. Masterfiles'!D84</f>
        <v>On-net local calls</v>
      </c>
      <c r="E14" s="379">
        <f>'8.Routing factors'!E33*'7.Network costs'!$F$90</f>
        <v>3703348.587580608</v>
      </c>
      <c r="F14" s="379">
        <f>'8.Routing factors'!F33*'7.Network costs'!$F$91</f>
        <v>7808388.490881623</v>
      </c>
      <c r="G14" s="379">
        <f>'8.Routing factors'!G33*'7.Network costs'!$F$92</f>
        <v>775784.252096397</v>
      </c>
      <c r="H14" s="379">
        <f>'8.Routing factors'!H33*'7.Network costs'!$F$93</f>
        <v>158813.25376479185</v>
      </c>
      <c r="I14" s="379">
        <f>'8.Routing factors'!I33*'7.Network costs'!$F$94</f>
        <v>0</v>
      </c>
      <c r="J14" s="379">
        <f>'8.Routing factors'!J33*'7.Network costs'!$F$95</f>
        <v>0</v>
      </c>
      <c r="K14" s="379">
        <f>'8.Routing factors'!K33*'7.Network costs'!$F$96</f>
        <v>679480.9513136699</v>
      </c>
      <c r="L14" s="379">
        <f>'8.Routing factors'!L33*'7.Network costs'!$F$97</f>
        <v>0</v>
      </c>
      <c r="M14" s="379">
        <f>'8.Routing factors'!M33*'7.Network costs'!$F$98</f>
        <v>568245.4120047707</v>
      </c>
      <c r="N14" s="379">
        <f>'8.Routing factors'!N33*'7.Network costs'!$F$99</f>
        <v>398031.0986077682</v>
      </c>
      <c r="O14" s="379">
        <f>'8.Routing factors'!O33*'7.Network costs'!$F$100</f>
        <v>4729560.196237358</v>
      </c>
      <c r="P14" s="379">
        <f>'8.Routing factors'!P33*'7.Network costs'!$F$101</f>
        <v>4311194.3823939245</v>
      </c>
      <c r="Q14" s="379">
        <f>'8.Routing factors'!Q33*'7.Network costs'!$F$102</f>
        <v>17006029.663058624</v>
      </c>
      <c r="R14" s="379">
        <f>'8.Routing factors'!R33*'7.Network costs'!$F$103</f>
        <v>9711193.150832694</v>
      </c>
      <c r="S14" s="379">
        <f>'8.Routing factors'!S33*'7.Network costs'!$F$104</f>
        <v>0</v>
      </c>
      <c r="T14" s="379">
        <f>'8.Routing factors'!T33*'7.Network costs'!$F$105</f>
        <v>0</v>
      </c>
      <c r="U14" s="379">
        <f>'8.Routing factors'!U33*'7.Network costs'!$F$106</f>
        <v>0</v>
      </c>
      <c r="V14" s="379">
        <f>'8.Routing factors'!V33*'7.Network costs'!$F$107</f>
        <v>0</v>
      </c>
      <c r="W14" s="379">
        <f>'8.Routing factors'!W33*'7.Network costs'!$F$108</f>
        <v>30765.894119778422</v>
      </c>
      <c r="X14" s="104"/>
      <c r="Y14" s="336">
        <f aca="true" t="shared" si="0" ref="Y14:Y25">SUM(E14:T14)</f>
        <v>49850069.43877223</v>
      </c>
      <c r="Z14" s="377">
        <f>'2.Traffic'!F52</f>
        <v>2526.4417200000003</v>
      </c>
      <c r="AA14" s="381">
        <f>IF(Y14=0,"",Y14/Z14/1000000)</f>
        <v>0.019731335595096263</v>
      </c>
      <c r="AB14" s="104"/>
      <c r="AC14" s="104"/>
      <c r="AD14" s="104"/>
      <c r="AE14" s="104"/>
    </row>
    <row r="15" spans="1:31" ht="12.75" outlineLevel="1">
      <c r="A15" s="83"/>
      <c r="B15" s="85"/>
      <c r="C15" s="291" t="str">
        <f>'C. Masterfiles'!C85</f>
        <v>S02</v>
      </c>
      <c r="D15" s="291" t="str">
        <f>'C. Masterfiles'!D85</f>
        <v>On-net national calls</v>
      </c>
      <c r="E15" s="379">
        <f>'8.Routing factors'!E34*'7.Network costs'!$F$90</f>
        <v>575419.0557814353</v>
      </c>
      <c r="F15" s="379">
        <f>'8.Routing factors'!F34*'7.Network costs'!$F$91</f>
        <v>1213252.122056666</v>
      </c>
      <c r="G15" s="379">
        <f>'8.Routing factors'!G34*'7.Network costs'!$F$92</f>
        <v>160719.78508979583</v>
      </c>
      <c r="H15" s="379">
        <f>'8.Routing factors'!H34*'7.Network costs'!$F$93</f>
        <v>74028.27767824184</v>
      </c>
      <c r="I15" s="379">
        <f>'8.Routing factors'!I34*'7.Network costs'!$F$94</f>
        <v>0</v>
      </c>
      <c r="J15" s="379">
        <f>'8.Routing factors'!J34*'7.Network costs'!$F$95</f>
        <v>0</v>
      </c>
      <c r="K15" s="379">
        <f>'8.Routing factors'!K34*'7.Network costs'!$F$96</f>
        <v>105576.42041518271</v>
      </c>
      <c r="L15" s="379">
        <f>'8.Routing factors'!L34*'7.Network costs'!$F$97</f>
        <v>0</v>
      </c>
      <c r="M15" s="379">
        <f>'8.Routing factors'!M34*'7.Network costs'!$F$98</f>
        <v>88292.86001443706</v>
      </c>
      <c r="N15" s="379">
        <f>'8.Routing factors'!N34*'7.Network costs'!$F$99</f>
        <v>61845.293122178744</v>
      </c>
      <c r="O15" s="379">
        <f>'8.Routing factors'!O34*'7.Network costs'!$F$100</f>
        <v>367434.90357712976</v>
      </c>
      <c r="P15" s="379">
        <f>'8.Routing factors'!P34*'7.Network costs'!$F$101</f>
        <v>334932.472887734</v>
      </c>
      <c r="Q15" s="379">
        <f>'8.Routing factors'!Q34*'7.Network costs'!$F$102</f>
        <v>0</v>
      </c>
      <c r="R15" s="379">
        <f>'8.Routing factors'!R34*'7.Network costs'!$F$103</f>
        <v>15089061.861751247</v>
      </c>
      <c r="S15" s="379">
        <f>'8.Routing factors'!S34*'7.Network costs'!$F$104</f>
        <v>312494.42005337717</v>
      </c>
      <c r="T15" s="379">
        <f>'8.Routing factors'!T34*'7.Network costs'!$F$105</f>
        <v>0</v>
      </c>
      <c r="U15" s="379">
        <f>'8.Routing factors'!U34*'7.Network costs'!$F$106</f>
        <v>0</v>
      </c>
      <c r="V15" s="379">
        <f>'8.Routing factors'!V34*'7.Network costs'!$F$107</f>
        <v>0</v>
      </c>
      <c r="W15" s="379">
        <f>'8.Routing factors'!W34*'7.Network costs'!$F$108</f>
        <v>0</v>
      </c>
      <c r="X15" s="104"/>
      <c r="Y15" s="336">
        <f t="shared" si="0"/>
        <v>18383057.472427428</v>
      </c>
      <c r="Z15" s="377">
        <f>'2.Traffic'!F53</f>
        <v>392.55357000000004</v>
      </c>
      <c r="AA15" s="381">
        <f aca="true" t="shared" si="1" ref="AA15:AA25">IF(Y15=0,"",Y15/Z15/1000000)</f>
        <v>0.046829423745725775</v>
      </c>
      <c r="AB15" s="104"/>
      <c r="AC15" s="104"/>
      <c r="AD15" s="104"/>
      <c r="AE15" s="104"/>
    </row>
    <row r="16" spans="1:31" ht="12.75" outlineLevel="1">
      <c r="A16" s="83"/>
      <c r="B16" s="85"/>
      <c r="C16" s="291" t="str">
        <f>'C. Masterfiles'!C86</f>
        <v>S03</v>
      </c>
      <c r="D16" s="291" t="str">
        <f>'C. Masterfiles'!D86</f>
        <v>Originating calls (local)</v>
      </c>
      <c r="E16" s="379">
        <f>'8.Routing factors'!E35*'7.Network costs'!$F$90</f>
        <v>49259.42260299674</v>
      </c>
      <c r="F16" s="379">
        <f>'8.Routing factors'!F35*'7.Network costs'!$F$91</f>
        <v>103861.86971721081</v>
      </c>
      <c r="G16" s="379">
        <f>'8.Routing factors'!G35*'7.Network costs'!$F$92</f>
        <v>13758.605549914588</v>
      </c>
      <c r="H16" s="379">
        <f>'8.Routing factors'!H35*'7.Network costs'!$F$93</f>
        <v>0</v>
      </c>
      <c r="I16" s="379">
        <f>'8.Routing factors'!I35*'7.Network costs'!$F$94</f>
        <v>27853.62022573068</v>
      </c>
      <c r="J16" s="379">
        <f>'8.Routing factors'!J35*'7.Network costs'!$F$95</f>
        <v>0</v>
      </c>
      <c r="K16" s="379">
        <f>'8.Routing factors'!K35*'7.Network costs'!$F$96</f>
        <v>18075.986389017064</v>
      </c>
      <c r="L16" s="379">
        <f>'8.Routing factors'!L35*'7.Network costs'!$F$97</f>
        <v>0</v>
      </c>
      <c r="M16" s="379">
        <f>'8.Routing factors'!M35*'7.Network costs'!$F$98</f>
        <v>15116.827503642462</v>
      </c>
      <c r="N16" s="379">
        <f>'8.Routing factors'!N35*'7.Network costs'!$F$99</f>
        <v>10588.677588281907</v>
      </c>
      <c r="O16" s="379">
        <f>'8.Routing factors'!O35*'7.Network costs'!$F$100</f>
        <v>62909.39103439105</v>
      </c>
      <c r="P16" s="379">
        <f>'8.Routing factors'!P35*'7.Network costs'!$F$101</f>
        <v>57344.573696948915</v>
      </c>
      <c r="Q16" s="379">
        <f>'8.Routing factors'!Q35*'7.Network costs'!$F$102</f>
        <v>0</v>
      </c>
      <c r="R16" s="379">
        <f>'8.Routing factors'!R35*'7.Network costs'!$F$103</f>
        <v>0</v>
      </c>
      <c r="S16" s="379">
        <f>'8.Routing factors'!S35*'7.Network costs'!$F$104</f>
        <v>0</v>
      </c>
      <c r="T16" s="379">
        <f>'8.Routing factors'!T35*'7.Network costs'!$F$105</f>
        <v>0</v>
      </c>
      <c r="U16" s="379">
        <f>'8.Routing factors'!U35*'7.Network costs'!$F$106</f>
        <v>0</v>
      </c>
      <c r="V16" s="379">
        <f>'8.Routing factors'!V35*'7.Network costs'!$F$107</f>
        <v>16700.71945066803</v>
      </c>
      <c r="W16" s="379">
        <f>'8.Routing factors'!W35*'7.Network costs'!$F$108</f>
        <v>0</v>
      </c>
      <c r="X16" s="104"/>
      <c r="Y16" s="336">
        <f t="shared" si="0"/>
        <v>358768.97430813423</v>
      </c>
      <c r="Z16" s="377">
        <f>'2.Traffic'!F54</f>
        <v>66.73335</v>
      </c>
      <c r="AA16" s="381">
        <f t="shared" si="1"/>
        <v>0.0053761571134692656</v>
      </c>
      <c r="AB16" s="104"/>
      <c r="AC16" s="104"/>
      <c r="AD16" s="104"/>
      <c r="AE16" s="104"/>
    </row>
    <row r="17" spans="1:31" ht="12.75" outlineLevel="1">
      <c r="A17" s="83"/>
      <c r="B17" s="85"/>
      <c r="C17" s="291" t="str">
        <f>'C. Masterfiles'!C87</f>
        <v>S04</v>
      </c>
      <c r="D17" s="291" t="str">
        <f>'C. Masterfiles'!D87</f>
        <v>Originating calls (national) </v>
      </c>
      <c r="E17" s="379">
        <f>'8.Routing factors'!E36*'7.Network costs'!$F$90</f>
        <v>83661.8422607252</v>
      </c>
      <c r="F17" s="379">
        <f>'8.Routing factors'!F36*'7.Network costs'!$F$91</f>
        <v>176398.23818512767</v>
      </c>
      <c r="G17" s="379">
        <f>'8.Routing factors'!G36*'7.Network costs'!$F$92</f>
        <v>23367.514810749446</v>
      </c>
      <c r="H17" s="379">
        <f>'8.Routing factors'!H36*'7.Network costs'!$F$93</f>
        <v>35877.28530319814</v>
      </c>
      <c r="I17" s="379">
        <f>'8.Routing factors'!I36*'7.Network costs'!$F$94</f>
        <v>47306.38441493749</v>
      </c>
      <c r="J17" s="379">
        <f>'8.Routing factors'!J36*'7.Network costs'!$F$95</f>
        <v>0</v>
      </c>
      <c r="K17" s="379">
        <f>'8.Routing factors'!K36*'7.Network costs'!$F$96</f>
        <v>30700.1227800214</v>
      </c>
      <c r="L17" s="379">
        <f>'8.Routing factors'!L36*'7.Network costs'!$F$97</f>
        <v>0</v>
      </c>
      <c r="M17" s="379">
        <f>'8.Routing factors'!M36*'7.Network costs'!$F$98</f>
        <v>25674.309020735218</v>
      </c>
      <c r="N17" s="379">
        <f>'8.Routing factors'!N36*'7.Network costs'!$F$99</f>
        <v>17983.732397355066</v>
      </c>
      <c r="O17" s="379">
        <f>'8.Routing factors'!O36*'7.Network costs'!$F$100</f>
        <v>106844.84858572655</v>
      </c>
      <c r="P17" s="379">
        <f>'8.Routing factors'!P36*'7.Network costs'!$F$101</f>
        <v>97393.60361180536</v>
      </c>
      <c r="Q17" s="379">
        <f>'8.Routing factors'!Q36*'7.Network costs'!$F$102</f>
        <v>0</v>
      </c>
      <c r="R17" s="379">
        <f>'8.Routing factors'!R36*'7.Network costs'!$F$103</f>
        <v>2193842.384357278</v>
      </c>
      <c r="S17" s="379">
        <f>'8.Routing factors'!S36*'7.Network costs'!$F$104</f>
        <v>0</v>
      </c>
      <c r="T17" s="379">
        <f>'8.Routing factors'!T36*'7.Network costs'!$F$105</f>
        <v>0</v>
      </c>
      <c r="U17" s="379">
        <f>'8.Routing factors'!U36*'7.Network costs'!$F$106</f>
        <v>0</v>
      </c>
      <c r="V17" s="379">
        <f>'8.Routing factors'!V36*'7.Network costs'!$F$107</f>
        <v>0</v>
      </c>
      <c r="W17" s="379">
        <f>'8.Routing factors'!W36*'7.Network costs'!$F$108</f>
        <v>0</v>
      </c>
      <c r="X17" s="104"/>
      <c r="Y17" s="336">
        <f t="shared" si="0"/>
        <v>2839050.265727659</v>
      </c>
      <c r="Z17" s="377">
        <f>'2.Traffic'!F55</f>
        <v>97.10592</v>
      </c>
      <c r="AA17" s="381">
        <f t="shared" si="1"/>
        <v>0.029236634241533978</v>
      </c>
      <c r="AB17" s="104"/>
      <c r="AC17" s="104"/>
      <c r="AD17" s="104"/>
      <c r="AE17" s="104"/>
    </row>
    <row r="18" spans="1:31" ht="12.75" outlineLevel="1">
      <c r="A18" s="83"/>
      <c r="B18" s="85"/>
      <c r="C18" s="291" t="str">
        <f>'C. Masterfiles'!C88</f>
        <v>S05</v>
      </c>
      <c r="D18" s="291" t="str">
        <f>'C. Masterfiles'!D88</f>
        <v>Originating calls (international)</v>
      </c>
      <c r="E18" s="379">
        <f>'8.Routing factors'!E37*'7.Network costs'!$F$90</f>
        <v>88941.03709117034</v>
      </c>
      <c r="F18" s="379">
        <f>'8.Routing factors'!F37*'7.Network costs'!$F$91</f>
        <v>187529.24656316964</v>
      </c>
      <c r="G18" s="379">
        <f>'8.Routing factors'!G37*'7.Network costs'!$F$92</f>
        <v>24842.042027169235</v>
      </c>
      <c r="H18" s="379">
        <f>'8.Routing factors'!H37*'7.Network costs'!$F$93</f>
        <v>38141.19886265323</v>
      </c>
      <c r="I18" s="379">
        <f>'8.Routing factors'!I37*'7.Network costs'!$F$94</f>
        <v>0</v>
      </c>
      <c r="J18" s="379">
        <f>'8.Routing factors'!J37*'7.Network costs'!$F$95</f>
        <v>0</v>
      </c>
      <c r="K18" s="379">
        <f>'8.Routing factors'!K37*'7.Network costs'!$F$96</f>
        <v>32637.349179713103</v>
      </c>
      <c r="L18" s="379">
        <f>'8.Routing factors'!L37*'7.Network costs'!$F$97</f>
        <v>0</v>
      </c>
      <c r="M18" s="379">
        <f>'8.Routing factors'!M37*'7.Network costs'!$F$98</f>
        <v>27294.39860751623</v>
      </c>
      <c r="N18" s="379">
        <f>'8.Routing factors'!N37*'7.Network costs'!$F$99</f>
        <v>19118.53441149616</v>
      </c>
      <c r="O18" s="379">
        <f>'8.Routing factors'!O37*'7.Network costs'!$F$100</f>
        <v>113586.92785473944</v>
      </c>
      <c r="P18" s="379">
        <f>'8.Routing factors'!P37*'7.Network costs'!$F$101</f>
        <v>103539.29434502554</v>
      </c>
      <c r="Q18" s="379">
        <f>'8.Routing factors'!Q37*'7.Network costs'!$F$102</f>
        <v>0</v>
      </c>
      <c r="R18" s="379">
        <f>'8.Routing factors'!R37*'7.Network costs'!$F$103</f>
        <v>2332277.315520004</v>
      </c>
      <c r="S18" s="379">
        <f>'8.Routing factors'!S37*'7.Network costs'!$F$104</f>
        <v>0</v>
      </c>
      <c r="T18" s="379">
        <f>'8.Routing factors'!T37*'7.Network costs'!$F$105</f>
        <v>0</v>
      </c>
      <c r="U18" s="379">
        <f>'8.Routing factors'!U37*'7.Network costs'!$F$106</f>
        <v>0</v>
      </c>
      <c r="V18" s="379">
        <f>'8.Routing factors'!V37*'7.Network costs'!$F$107</f>
        <v>0</v>
      </c>
      <c r="W18" s="379">
        <f>'8.Routing factors'!W37*'7.Network costs'!$F$108</f>
        <v>0</v>
      </c>
      <c r="X18" s="104"/>
      <c r="Y18" s="336">
        <f t="shared" si="0"/>
        <v>2967907.344462657</v>
      </c>
      <c r="Z18" s="377">
        <f>'2.Traffic'!F56</f>
        <v>119.85381000000001</v>
      </c>
      <c r="AA18" s="381">
        <f t="shared" si="1"/>
        <v>0.024762728397726003</v>
      </c>
      <c r="AB18" s="104"/>
      <c r="AC18" s="104"/>
      <c r="AD18" s="104"/>
      <c r="AE18" s="104"/>
    </row>
    <row r="19" spans="1:31" ht="12.75" outlineLevel="1">
      <c r="A19" s="83"/>
      <c r="B19" s="85"/>
      <c r="C19" s="291" t="str">
        <f>'C. Masterfiles'!C89</f>
        <v>S06</v>
      </c>
      <c r="D19" s="291" t="str">
        <f>'C. Masterfiles'!D89</f>
        <v>Terminating calls (local)</v>
      </c>
      <c r="E19" s="379">
        <f>'8.Routing factors'!E38*'7.Network costs'!$F$90</f>
        <v>44407.546159411984</v>
      </c>
      <c r="F19" s="379">
        <f>'8.Routing factors'!F38*'7.Network costs'!$F$91</f>
        <v>93631.84807995055</v>
      </c>
      <c r="G19" s="379">
        <f>'8.Routing factors'!G38*'7.Network costs'!$F$92</f>
        <v>12403.43225236676</v>
      </c>
      <c r="H19" s="379">
        <f>'8.Routing factors'!H38*'7.Network costs'!$F$93</f>
        <v>0</v>
      </c>
      <c r="I19" s="379">
        <f>'8.Routing factors'!I38*'7.Network costs'!$F$94</f>
        <v>25110.138538359926</v>
      </c>
      <c r="J19" s="379">
        <f>'8.Routing factors'!J38*'7.Network costs'!$F$95</f>
        <v>0</v>
      </c>
      <c r="K19" s="379">
        <f>'8.Routing factors'!K38*'7.Network costs'!$F$96</f>
        <v>0</v>
      </c>
      <c r="L19" s="379">
        <f>'8.Routing factors'!L38*'7.Network costs'!$F$97</f>
        <v>41622.85270393449</v>
      </c>
      <c r="M19" s="379">
        <f>'8.Routing factors'!M38*'7.Network costs'!$F$98</f>
        <v>13627.874215298496</v>
      </c>
      <c r="N19" s="379">
        <f>'8.Routing factors'!N38*'7.Network costs'!$F$99</f>
        <v>9545.730825114339</v>
      </c>
      <c r="O19" s="379">
        <f>'8.Routing factors'!O38*'7.Network costs'!$F$100</f>
        <v>56713.04165977505</v>
      </c>
      <c r="P19" s="379">
        <f>'8.Routing factors'!P38*'7.Network costs'!$F$101</f>
        <v>51696.3388702843</v>
      </c>
      <c r="Q19" s="379">
        <f>'8.Routing factors'!Q38*'7.Network costs'!$F$102</f>
        <v>0</v>
      </c>
      <c r="R19" s="379">
        <f>'8.Routing factors'!R38*'7.Network costs'!$F$103</f>
        <v>0</v>
      </c>
      <c r="S19" s="379">
        <f>'8.Routing factors'!S38*'7.Network costs'!$F$104</f>
        <v>0</v>
      </c>
      <c r="T19" s="379">
        <f>'8.Routing factors'!T38*'7.Network costs'!$F$105</f>
        <v>0</v>
      </c>
      <c r="U19" s="379">
        <f>'8.Routing factors'!U38*'7.Network costs'!$F$106</f>
        <v>0</v>
      </c>
      <c r="V19" s="379">
        <f>'8.Routing factors'!V38*'7.Network costs'!$F$107</f>
        <v>15055.758486617178</v>
      </c>
      <c r="W19" s="379">
        <f>'8.Routing factors'!W38*'7.Network costs'!$F$108</f>
        <v>0</v>
      </c>
      <c r="X19" s="104"/>
      <c r="Y19" s="336">
        <f t="shared" si="0"/>
        <v>348758.80330449593</v>
      </c>
      <c r="Z19" s="377">
        <f>'2.Traffic'!F57</f>
        <v>60.5900712</v>
      </c>
      <c r="AA19" s="381">
        <f t="shared" si="1"/>
        <v>0.005756038842623046</v>
      </c>
      <c r="AB19" s="104"/>
      <c r="AC19" s="104"/>
      <c r="AD19" s="104"/>
      <c r="AE19" s="104"/>
    </row>
    <row r="20" spans="1:31" ht="12.75" outlineLevel="1">
      <c r="A20" s="83"/>
      <c r="B20" s="85"/>
      <c r="C20" s="291" t="str">
        <f>'C. Masterfiles'!C90</f>
        <v>S07</v>
      </c>
      <c r="D20" s="291" t="str">
        <f>'C. Masterfiles'!D90</f>
        <v>Terminating calls (national) </v>
      </c>
      <c r="E20" s="379">
        <f>'8.Routing factors'!E39*'7.Network costs'!$F$90</f>
        <v>63245.76230215752</v>
      </c>
      <c r="F20" s="379">
        <f>'8.Routing factors'!F39*'7.Network costs'!$F$91</f>
        <v>133351.60619590266</v>
      </c>
      <c r="G20" s="379">
        <f>'8.Routing factors'!G39*'7.Network costs'!$F$92</f>
        <v>17665.117661490927</v>
      </c>
      <c r="H20" s="379">
        <f>'8.Routing factors'!H39*'7.Network costs'!$F$93</f>
        <v>27122.116809971023</v>
      </c>
      <c r="I20" s="379">
        <f>'8.Routing factors'!I39*'7.Network costs'!$F$94</f>
        <v>35762.161855789986</v>
      </c>
      <c r="J20" s="379">
        <f>'8.Routing factors'!J39*'7.Network costs'!$F$95</f>
        <v>0</v>
      </c>
      <c r="K20" s="379">
        <f>'8.Routing factors'!K39*'7.Network costs'!$F$96</f>
        <v>0</v>
      </c>
      <c r="L20" s="379">
        <f>'8.Routing factors'!L39*'7.Network costs'!$F$97</f>
        <v>59279.768330383515</v>
      </c>
      <c r="M20" s="379">
        <f>'8.Routing factors'!M39*'7.Network costs'!$F$98</f>
        <v>19408.982658272664</v>
      </c>
      <c r="N20" s="379">
        <f>'8.Routing factors'!N39*'7.Network costs'!$F$99</f>
        <v>13595.144856649595</v>
      </c>
      <c r="O20" s="379">
        <f>'8.Routing factors'!O39*'7.Network costs'!$F$100</f>
        <v>80771.397261415</v>
      </c>
      <c r="P20" s="379">
        <f>'8.Routing factors'!P39*'7.Network costs'!$F$101</f>
        <v>73626.5487028901</v>
      </c>
      <c r="Q20" s="379">
        <f>'8.Routing factors'!Q39*'7.Network costs'!$F$102</f>
        <v>0</v>
      </c>
      <c r="R20" s="379">
        <f>'8.Routing factors'!R39*'7.Network costs'!$F$103</f>
        <v>1658476.9139681642</v>
      </c>
      <c r="S20" s="379">
        <f>'8.Routing factors'!S39*'7.Network costs'!$F$104</f>
        <v>0</v>
      </c>
      <c r="T20" s="379">
        <f>'8.Routing factors'!T39*'7.Network costs'!$F$105</f>
        <v>0</v>
      </c>
      <c r="U20" s="379">
        <f>'8.Routing factors'!U39*'7.Network costs'!$F$106</f>
        <v>0</v>
      </c>
      <c r="V20" s="379">
        <f>'8.Routing factors'!V39*'7.Network costs'!$F$107</f>
        <v>0</v>
      </c>
      <c r="W20" s="379">
        <f>'8.Routing factors'!W39*'7.Network costs'!$F$108</f>
        <v>0</v>
      </c>
      <c r="X20" s="104"/>
      <c r="Y20" s="336">
        <f t="shared" si="0"/>
        <v>2182305.5206030873</v>
      </c>
      <c r="Z20" s="377">
        <f>'2.Traffic'!F58</f>
        <v>73.4090688</v>
      </c>
      <c r="AA20" s="381">
        <f t="shared" si="1"/>
        <v>0.029728009853233383</v>
      </c>
      <c r="AB20" s="104"/>
      <c r="AC20" s="104"/>
      <c r="AD20" s="104"/>
      <c r="AE20" s="104"/>
    </row>
    <row r="21" spans="1:31" ht="12.75" outlineLevel="1">
      <c r="A21" s="83"/>
      <c r="B21" s="85"/>
      <c r="C21" s="291" t="str">
        <f>'C. Masterfiles'!C91</f>
        <v>S08</v>
      </c>
      <c r="D21" s="291" t="str">
        <f>'C. Masterfiles'!D91</f>
        <v>Terminating calls (international)</v>
      </c>
      <c r="E21" s="379">
        <f>'8.Routing factors'!E40*'7.Network costs'!$F$90</f>
        <v>288788.02176410565</v>
      </c>
      <c r="F21" s="379">
        <f>'8.Routing factors'!F40*'7.Network costs'!$F$91</f>
        <v>608900.0298296202</v>
      </c>
      <c r="G21" s="379">
        <f>'8.Routing factors'!G40*'7.Network costs'!$F$92</f>
        <v>80661.1257102059</v>
      </c>
      <c r="H21" s="379">
        <f>'8.Routing factors'!H40*'7.Network costs'!$F$93</f>
        <v>123842.96076923613</v>
      </c>
      <c r="I21" s="379">
        <f>'8.Routing factors'!I40*'7.Network costs'!$F$94</f>
        <v>0</v>
      </c>
      <c r="J21" s="379">
        <f>'8.Routing factors'!J40*'7.Network costs'!$F$95</f>
        <v>0</v>
      </c>
      <c r="K21" s="379">
        <f>'8.Routing factors'!K40*'7.Network costs'!$F$96</f>
        <v>0</v>
      </c>
      <c r="L21" s="379">
        <f>'8.Routing factors'!L40*'7.Network costs'!$F$97</f>
        <v>270678.79971116956</v>
      </c>
      <c r="M21" s="379">
        <f>'8.Routing factors'!M40*'7.Network costs'!$F$98</f>
        <v>88623.83031384835</v>
      </c>
      <c r="N21" s="379">
        <f>'8.Routing factors'!N40*'7.Network costs'!$F$99</f>
        <v>62077.123365059975</v>
      </c>
      <c r="O21" s="379">
        <f>'8.Routing factors'!O40*'7.Network costs'!$F$100</f>
        <v>368812.2520969443</v>
      </c>
      <c r="P21" s="379">
        <f>'8.Routing factors'!P40*'7.Network costs'!$F$101</f>
        <v>336187.98438454233</v>
      </c>
      <c r="Q21" s="379">
        <f>'8.Routing factors'!Q40*'7.Network costs'!$F$102</f>
        <v>0</v>
      </c>
      <c r="R21" s="379">
        <f>'8.Routing factors'!R40*'7.Network costs'!$F$103</f>
        <v>7572811.990756359</v>
      </c>
      <c r="S21" s="379">
        <f>'8.Routing factors'!S40*'7.Network costs'!$F$104</f>
        <v>0</v>
      </c>
      <c r="T21" s="379">
        <f>'8.Routing factors'!T40*'7.Network costs'!$F$105</f>
        <v>0</v>
      </c>
      <c r="U21" s="379">
        <f>'8.Routing factors'!U40*'7.Network costs'!$F$106</f>
        <v>0</v>
      </c>
      <c r="V21" s="379">
        <f>'8.Routing factors'!V40*'7.Network costs'!$F$107</f>
        <v>0</v>
      </c>
      <c r="W21" s="379">
        <f>'8.Routing factors'!W40*'7.Network costs'!$F$108</f>
        <v>0</v>
      </c>
      <c r="X21" s="104"/>
      <c r="Y21" s="336">
        <f t="shared" si="0"/>
        <v>9801384.118701091</v>
      </c>
      <c r="Z21" s="377">
        <f>'2.Traffic'!F59</f>
        <v>389.16057</v>
      </c>
      <c r="AA21" s="381">
        <f t="shared" si="1"/>
        <v>0.025185964032021772</v>
      </c>
      <c r="AB21" s="104"/>
      <c r="AC21" s="104"/>
      <c r="AD21" s="104"/>
      <c r="AE21" s="104"/>
    </row>
    <row r="22" spans="1:31" ht="12.75" outlineLevel="1">
      <c r="A22" s="83"/>
      <c r="B22" s="85"/>
      <c r="C22" s="291" t="str">
        <f>'C. Masterfiles'!C92</f>
        <v>S09</v>
      </c>
      <c r="D22" s="291" t="str">
        <f>'C. Masterfiles'!D92</f>
        <v>Transit calls</v>
      </c>
      <c r="E22" s="379">
        <f>'8.Routing factors'!E41*'7.Network costs'!$F$90</f>
        <v>0</v>
      </c>
      <c r="F22" s="379">
        <f>'8.Routing factors'!F41*'7.Network costs'!$F$91</f>
        <v>0</v>
      </c>
      <c r="G22" s="379">
        <f>'8.Routing factors'!G41*'7.Network costs'!$F$92</f>
        <v>33290.496603737076</v>
      </c>
      <c r="H22" s="379">
        <f>'8.Routing factors'!H41*'7.Network costs'!$F$93</f>
        <v>102225.0465409349</v>
      </c>
      <c r="I22" s="379">
        <f>'8.Routing factors'!I41*'7.Network costs'!$F$94</f>
        <v>134789.94599597715</v>
      </c>
      <c r="J22" s="379">
        <f>'8.Routing factors'!J41*'7.Network costs'!$F$95</f>
        <v>0</v>
      </c>
      <c r="K22" s="379">
        <f>'8.Routing factors'!K41*'7.Network costs'!$F$96</f>
        <v>0</v>
      </c>
      <c r="L22" s="379">
        <f>'8.Routing factors'!L41*'7.Network costs'!$F$97</f>
        <v>111714.67771058109</v>
      </c>
      <c r="M22" s="379">
        <f>'8.Routing factors'!M41*'7.Network costs'!$F$98</f>
        <v>36576.867680635885</v>
      </c>
      <c r="N22" s="379">
        <f>'8.Routing factors'!N41*'7.Network costs'!$F$99</f>
        <v>25620.49867713185</v>
      </c>
      <c r="O22" s="379">
        <f>'8.Routing factors'!O41*'7.Network costs'!$F$100</f>
        <v>0</v>
      </c>
      <c r="P22" s="379">
        <f>'8.Routing factors'!P41*'7.Network costs'!$F$101</f>
        <v>0</v>
      </c>
      <c r="Q22" s="379">
        <f>'8.Routing factors'!Q41*'7.Network costs'!$F$102</f>
        <v>0</v>
      </c>
      <c r="R22" s="379">
        <f>'8.Routing factors'!R41*'7.Network costs'!$F$103</f>
        <v>3125454.419824888</v>
      </c>
      <c r="S22" s="379">
        <f>'8.Routing factors'!S41*'7.Network costs'!$F$104</f>
        <v>647281.5044931412</v>
      </c>
      <c r="T22" s="379">
        <f>'8.Routing factors'!T41*'7.Network costs'!$F$105</f>
        <v>0</v>
      </c>
      <c r="U22" s="379">
        <f>'8.Routing factors'!U41*'7.Network costs'!$F$106</f>
        <v>0</v>
      </c>
      <c r="V22" s="379">
        <f>'8.Routing factors'!V41*'7.Network costs'!$F$107</f>
        <v>40409.27273737281</v>
      </c>
      <c r="W22" s="379">
        <f>'8.Routing factors'!W41*'7.Network costs'!$F$108</f>
        <v>0</v>
      </c>
      <c r="X22" s="104"/>
      <c r="Y22" s="336">
        <f t="shared" si="0"/>
        <v>4216953.457527027</v>
      </c>
      <c r="Z22" s="377">
        <f>'2.Traffic'!F60</f>
        <v>150.57612</v>
      </c>
      <c r="AA22" s="381">
        <f t="shared" si="1"/>
        <v>0.028005459680638785</v>
      </c>
      <c r="AB22" s="104"/>
      <c r="AC22" s="104"/>
      <c r="AD22" s="104"/>
      <c r="AE22" s="104"/>
    </row>
    <row r="23" spans="1:31" ht="12.75" outlineLevel="1">
      <c r="A23" s="83"/>
      <c r="B23" s="85"/>
      <c r="C23" s="291" t="str">
        <f>'C. Masterfiles'!C93</f>
        <v>S10</v>
      </c>
      <c r="D23" s="291" t="str">
        <f>'C. Masterfiles'!D93</f>
        <v>Calls to directory enquiries, emergency &amp; helpdesk</v>
      </c>
      <c r="E23" s="379">
        <f>'8.Routing factors'!E42*'7.Network costs'!$F$90</f>
        <v>2158.54178123234</v>
      </c>
      <c r="F23" s="379">
        <f>'8.Routing factors'!F42*'7.Network costs'!$F$91</f>
        <v>4551.214233028193</v>
      </c>
      <c r="G23" s="379">
        <f>'8.Routing factors'!G42*'7.Network costs'!$F$92</f>
        <v>602.9003865989094</v>
      </c>
      <c r="H23" s="379">
        <f>'8.Routing factors'!H42*'7.Network costs'!$F$93</f>
        <v>925.6623716556787</v>
      </c>
      <c r="I23" s="379">
        <f>'8.Routing factors'!I42*'7.Network costs'!$F$94</f>
        <v>0</v>
      </c>
      <c r="J23" s="379">
        <f>'8.Routing factors'!J42*'7.Network costs'!$F$95</f>
        <v>1212069.0512494606</v>
      </c>
      <c r="K23" s="379">
        <f>'8.Routing factors'!K42*'7.Network costs'!$F$96</f>
        <v>792.0874788188594</v>
      </c>
      <c r="L23" s="379">
        <f>'8.Routing factors'!L42*'7.Network costs'!$F$97</f>
        <v>0</v>
      </c>
      <c r="M23" s="379">
        <f>'8.Routing factors'!M42*'7.Network costs'!$F$98</f>
        <v>662.4175039418617</v>
      </c>
      <c r="N23" s="379">
        <f>'8.Routing factors'!N42*'7.Network costs'!$F$99</f>
        <v>463.99453697442476</v>
      </c>
      <c r="O23" s="379">
        <f>'8.Routing factors'!O42*'7.Network costs'!$F$100</f>
        <v>2756.68170278868</v>
      </c>
      <c r="P23" s="379">
        <f>'8.Routing factors'!P42*'7.Network costs'!$F$101</f>
        <v>2512.832098123111</v>
      </c>
      <c r="Q23" s="379">
        <f>'8.Routing factors'!Q42*'7.Network costs'!$F$102</f>
        <v>0</v>
      </c>
      <c r="R23" s="379">
        <f>'8.Routing factors'!R42*'7.Network costs'!$F$103</f>
        <v>56602.87079641119</v>
      </c>
      <c r="S23" s="379">
        <f>'8.Routing factors'!S42*'7.Network costs'!$F$104</f>
        <v>0</v>
      </c>
      <c r="T23" s="379">
        <f>'8.Routing factors'!T42*'7.Network costs'!$F$105</f>
        <v>1808.175646930223</v>
      </c>
      <c r="U23" s="379">
        <f>'8.Routing factors'!U42*'7.Network costs'!$F$106</f>
        <v>4219.076509503855</v>
      </c>
      <c r="V23" s="379">
        <f>'8.Routing factors'!V42*'7.Network costs'!$F$107</f>
        <v>0</v>
      </c>
      <c r="W23" s="379">
        <f>'8.Routing factors'!W42*'7.Network costs'!$F$108</f>
        <v>0</v>
      </c>
      <c r="X23" s="104"/>
      <c r="Y23" s="336">
        <f t="shared" si="0"/>
        <v>1285906.429785964</v>
      </c>
      <c r="Z23" s="377">
        <f>'2.Traffic'!F61</f>
        <v>2.54517804</v>
      </c>
      <c r="AA23" s="381">
        <f t="shared" si="1"/>
        <v>0.5052324079402964</v>
      </c>
      <c r="AB23" s="104"/>
      <c r="AC23" s="104"/>
      <c r="AD23" s="104"/>
      <c r="AE23" s="104"/>
    </row>
    <row r="24" spans="1:31" ht="12.75" outlineLevel="1">
      <c r="A24" s="83"/>
      <c r="B24" s="85"/>
      <c r="C24" s="291" t="str">
        <f>'C. Masterfiles'!C94</f>
        <v>S11</v>
      </c>
      <c r="D24" s="291" t="str">
        <f>'C. Masterfiles'!D94</f>
        <v>Calls to non-geographic numbers</v>
      </c>
      <c r="E24" s="379">
        <f>'8.Routing factors'!E43*'7.Network costs'!$F$90</f>
        <v>1284.2152800047425</v>
      </c>
      <c r="F24" s="379">
        <f>'8.Routing factors'!F43*'7.Network costs'!$F$91</f>
        <v>2707.725609690553</v>
      </c>
      <c r="G24" s="379">
        <f>'8.Routing factors'!G43*'7.Network costs'!$F$92</f>
        <v>358.6930285635027</v>
      </c>
      <c r="H24" s="379">
        <f>'8.Routing factors'!H43*'7.Network costs'!$F$93</f>
        <v>550.7189029841147</v>
      </c>
      <c r="I24" s="379">
        <f>'8.Routing factors'!I43*'7.Network costs'!$F$94</f>
        <v>0</v>
      </c>
      <c r="J24" s="379">
        <f>'8.Routing factors'!J43*'7.Network costs'!$F$95</f>
        <v>721115.3425748142</v>
      </c>
      <c r="K24" s="379">
        <f>'8.Routing factors'!K43*'7.Network costs'!$F$96</f>
        <v>471.2490868807148</v>
      </c>
      <c r="L24" s="379">
        <f>'8.Routing factors'!L43*'7.Network costs'!$F$97</f>
        <v>0</v>
      </c>
      <c r="M24" s="379">
        <f>'8.Routing factors'!M43*'7.Network costs'!$F$98</f>
        <v>394.10248515971375</v>
      </c>
      <c r="N24" s="379">
        <f>'8.Routing factors'!N43*'7.Network costs'!$F$99</f>
        <v>276.051582323828</v>
      </c>
      <c r="O24" s="379">
        <f>'8.Routing factors'!O43*'7.Network costs'!$F$100</f>
        <v>1640.076090076692</v>
      </c>
      <c r="P24" s="379">
        <f>'8.Routing factors'!P43*'7.Network costs'!$F$101</f>
        <v>1494.998801762238</v>
      </c>
      <c r="Q24" s="379">
        <f>'8.Routing factors'!Q43*'7.Network costs'!$F$102</f>
        <v>0</v>
      </c>
      <c r="R24" s="379">
        <f>'8.Routing factors'!R43*'7.Network costs'!$F$103</f>
        <v>33675.6379704569</v>
      </c>
      <c r="S24" s="379">
        <f>'8.Routing factors'!S43*'7.Network costs'!$F$104</f>
        <v>0</v>
      </c>
      <c r="T24" s="379">
        <f>'8.Routing factors'!T43*'7.Network costs'!$F$105</f>
        <v>1075.7664340388826</v>
      </c>
      <c r="U24" s="379">
        <f>'8.Routing factors'!U43*'7.Network costs'!$F$106</f>
        <v>2510.12167942406</v>
      </c>
      <c r="V24" s="379">
        <f>'8.Routing factors'!V43*'7.Network costs'!$F$107</f>
        <v>0</v>
      </c>
      <c r="W24" s="379">
        <f>'8.Routing factors'!W43*'7.Network costs'!$F$108</f>
        <v>0</v>
      </c>
      <c r="X24" s="104"/>
      <c r="Y24" s="336">
        <f t="shared" si="0"/>
        <v>765044.5778467561</v>
      </c>
      <c r="Z24" s="377">
        <f>'2.Traffic'!F62</f>
        <v>1.7080022700000002</v>
      </c>
      <c r="AA24" s="381">
        <f t="shared" si="1"/>
        <v>0.44791777580410125</v>
      </c>
      <c r="AB24" s="104"/>
      <c r="AC24" s="104"/>
      <c r="AD24" s="104"/>
      <c r="AE24" s="104"/>
    </row>
    <row r="25" spans="1:31" ht="12.75" outlineLevel="1">
      <c r="A25" s="83"/>
      <c r="B25" s="85"/>
      <c r="C25" s="291" t="str">
        <f>'C. Masterfiles'!C95</f>
        <v>S12</v>
      </c>
      <c r="D25" s="291" t="str">
        <f>'C. Masterfiles'!D95</f>
        <v>Internet dial-up calls</v>
      </c>
      <c r="E25" s="379">
        <f>'8.Routing factors'!E44*'7.Network costs'!$F$90</f>
        <v>269401.03770332184</v>
      </c>
      <c r="F25" s="379">
        <f>'8.Routing factors'!F44*'7.Network costs'!$F$91</f>
        <v>568023.2126375268</v>
      </c>
      <c r="G25" s="379">
        <f>'8.Routing factors'!G44*'7.Network costs'!$F$92</f>
        <v>75246.16442158986</v>
      </c>
      <c r="H25" s="379">
        <f>'8.Routing factors'!H44*'7.Network costs'!$F$93</f>
        <v>115529.10657332132</v>
      </c>
      <c r="I25" s="379">
        <f>'8.Routing factors'!I44*'7.Network costs'!$F$94</f>
        <v>0</v>
      </c>
      <c r="J25" s="379">
        <f>'8.Routing factors'!J44*'7.Network costs'!$F$95</f>
        <v>0</v>
      </c>
      <c r="K25" s="379">
        <f>'8.Routing factors'!K44*'7.Network costs'!$F$96</f>
        <v>98858.03026883361</v>
      </c>
      <c r="L25" s="379">
        <f>'8.Routing factors'!L44*'7.Network costs'!$F$97</f>
        <v>0</v>
      </c>
      <c r="M25" s="379">
        <f>'8.Routing factors'!M44*'7.Network costs'!$F$98</f>
        <v>82674.31490387874</v>
      </c>
      <c r="N25" s="379">
        <f>'8.Routing factors'!N44*'7.Network costs'!$F$99</f>
        <v>57909.747606654084</v>
      </c>
      <c r="O25" s="379">
        <f>'8.Routing factors'!O44*'7.Network costs'!$F$100</f>
        <v>344053.06295486214</v>
      </c>
      <c r="P25" s="379">
        <f>'8.Routing factors'!P44*'7.Network costs'!$F$101</f>
        <v>313618.935104465</v>
      </c>
      <c r="Q25" s="379">
        <f>'8.Routing factors'!Q44*'7.Network costs'!$F$102</f>
        <v>0</v>
      </c>
      <c r="R25" s="379">
        <f>'8.Routing factors'!R44*'7.Network costs'!$F$103</f>
        <v>7064432.2301857155</v>
      </c>
      <c r="S25" s="379">
        <f>'8.Routing factors'!S44*'7.Network costs'!$F$104</f>
        <v>0</v>
      </c>
      <c r="T25" s="379">
        <f>'8.Routing factors'!T44*'7.Network costs'!$F$105</f>
        <v>0</v>
      </c>
      <c r="U25" s="379">
        <f>'8.Routing factors'!U44*'7.Network costs'!$F$106</f>
        <v>0</v>
      </c>
      <c r="V25" s="379">
        <f>'8.Routing factors'!V44*'7.Network costs'!$F$107</f>
        <v>0</v>
      </c>
      <c r="W25" s="379">
        <f>'8.Routing factors'!W44*'7.Network costs'!$F$108</f>
        <v>0</v>
      </c>
      <c r="X25" s="104"/>
      <c r="Y25" s="336">
        <f t="shared" si="0"/>
        <v>8989745.842360169</v>
      </c>
      <c r="Z25" s="377">
        <f>'2.Traffic'!F63</f>
        <v>399.53619000000003</v>
      </c>
      <c r="AA25" s="381">
        <f t="shared" si="1"/>
        <v>0.022500454445341156</v>
      </c>
      <c r="AB25" s="104"/>
      <c r="AC25" s="104"/>
      <c r="AD25" s="104"/>
      <c r="AE25" s="104"/>
    </row>
    <row r="26" spans="2:31" s="57" customFormat="1" ht="12.75">
      <c r="B26" s="89"/>
      <c r="C26" s="90"/>
      <c r="D26" s="90" t="s">
        <v>635</v>
      </c>
      <c r="E26" s="380">
        <f aca="true" t="shared" si="2" ref="E26:U26">SUM(E14:E25)</f>
        <v>5169915.070307171</v>
      </c>
      <c r="F26" s="380">
        <f t="shared" si="2"/>
        <v>10900595.603989515</v>
      </c>
      <c r="G26" s="380">
        <f t="shared" si="2"/>
        <v>1218700.129638579</v>
      </c>
      <c r="H26" s="380">
        <f t="shared" si="2"/>
        <v>677055.6275769883</v>
      </c>
      <c r="I26" s="380">
        <f t="shared" si="2"/>
        <v>270822.2510307952</v>
      </c>
      <c r="J26" s="380">
        <f t="shared" si="2"/>
        <v>1933184.3938242747</v>
      </c>
      <c r="K26" s="380">
        <f t="shared" si="2"/>
        <v>966592.1969121373</v>
      </c>
      <c r="L26" s="380">
        <f t="shared" si="2"/>
        <v>483296.09845606866</v>
      </c>
      <c r="M26" s="380">
        <f t="shared" si="2"/>
        <v>966592.1969121371</v>
      </c>
      <c r="N26" s="380">
        <f t="shared" si="2"/>
        <v>677055.6275769882</v>
      </c>
      <c r="O26" s="380">
        <f t="shared" si="2"/>
        <v>6235082.779055206</v>
      </c>
      <c r="P26" s="380">
        <f t="shared" si="2"/>
        <v>5683541.964897505</v>
      </c>
      <c r="Q26" s="380">
        <f t="shared" si="2"/>
        <v>17006029.663058624</v>
      </c>
      <c r="R26" s="380">
        <f t="shared" si="2"/>
        <v>48837828.77596322</v>
      </c>
      <c r="S26" s="380">
        <f t="shared" si="2"/>
        <v>959775.9245465184</v>
      </c>
      <c r="T26" s="380">
        <f t="shared" si="2"/>
        <v>2883.9420809691055</v>
      </c>
      <c r="U26" s="380">
        <f t="shared" si="2"/>
        <v>6729.198188927915</v>
      </c>
      <c r="V26" s="380">
        <f>SUM(V14:V25)</f>
        <v>72165.75067465802</v>
      </c>
      <c r="W26" s="380">
        <f>SUM(W14:W25)</f>
        <v>30765.894119778422</v>
      </c>
      <c r="X26" s="55"/>
      <c r="Y26" s="380">
        <f>SUM(Y14:Y25)</f>
        <v>101988952.24582669</v>
      </c>
      <c r="Z26" s="157"/>
      <c r="AA26" s="157"/>
      <c r="AB26" s="55"/>
      <c r="AC26" s="55"/>
      <c r="AD26" s="55"/>
      <c r="AE26" s="55"/>
    </row>
    <row r="27" spans="1:31" ht="12.75">
      <c r="A27" s="83"/>
      <c r="B27" s="85"/>
      <c r="C27" s="83"/>
      <c r="D27" s="102"/>
      <c r="E27" s="223" t="str">
        <f>IF(ROUND(E26,0)=ROUND('7.Network costs'!$F$90,0),"Ok","Not ok")</f>
        <v>Ok</v>
      </c>
      <c r="F27" s="223" t="str">
        <f>IF(ROUND(F26,0)=ROUND('7.Network costs'!$F$91,0),"Ok","Not ok")</f>
        <v>Ok</v>
      </c>
      <c r="G27" s="223" t="str">
        <f>IF(ROUND(G26,0)=ROUND('7.Network costs'!$F$92,0),"Ok","Not ok")</f>
        <v>Ok</v>
      </c>
      <c r="H27" s="223" t="str">
        <f>IF(ROUND(H26,0)=ROUND('7.Network costs'!$F$93,0),"Ok","Not ok")</f>
        <v>Ok</v>
      </c>
      <c r="I27" s="223" t="str">
        <f>IF(ROUND(I26,0)=ROUND('7.Network costs'!$F$94,0),"Ok","Not ok")</f>
        <v>Ok</v>
      </c>
      <c r="J27" s="223" t="str">
        <f>IF(ROUND(J26,0)=ROUND('7.Network costs'!$F$95,0),"Ok","Not ok")</f>
        <v>Ok</v>
      </c>
      <c r="K27" s="223" t="str">
        <f>IF(ROUND(K26,0)=ROUND('7.Network costs'!$F$96,0),"Ok","Not ok")</f>
        <v>Ok</v>
      </c>
      <c r="L27" s="223" t="str">
        <f>IF(ROUND(L26,0)=ROUND('7.Network costs'!$F$97,0),"Ok","Not ok")</f>
        <v>Ok</v>
      </c>
      <c r="M27" s="223" t="str">
        <f>IF(ROUND(M26,0)=ROUND('7.Network costs'!$F$98,0),"Ok","Not ok")</f>
        <v>Ok</v>
      </c>
      <c r="N27" s="223" t="str">
        <f>IF(ROUND(N26,0)=ROUND('7.Network costs'!$F$99,0),"Ok","Not ok")</f>
        <v>Ok</v>
      </c>
      <c r="O27" s="223" t="str">
        <f>IF(ROUND(O26,0)=ROUND('7.Network costs'!$F$100,0),"Ok","Not ok")</f>
        <v>Ok</v>
      </c>
      <c r="P27" s="223" t="str">
        <f>IF(ROUND(P26,0)=ROUND('7.Network costs'!$F$101,0),"Ok","Not ok")</f>
        <v>Ok</v>
      </c>
      <c r="Q27" s="223" t="str">
        <f>IF(ROUND(Q26,0)=ROUND('7.Network costs'!$F$102,0),"Ok","Not ok")</f>
        <v>Ok</v>
      </c>
      <c r="R27" s="223" t="str">
        <f>IF(ROUND(R26,0)=ROUND('7.Network costs'!$F$103,0),"Ok","Not ok")</f>
        <v>Ok</v>
      </c>
      <c r="S27" s="223" t="str">
        <f>IF(ROUND(S26,0)=ROUND('7.Network costs'!$F$104,0),"Ok","Not ok")</f>
        <v>Ok</v>
      </c>
      <c r="T27" s="223" t="str">
        <f>IF(ROUND(T26,0)=ROUND('7.Network costs'!$F$105,0),"Ok","Not ok")</f>
        <v>Ok</v>
      </c>
      <c r="U27" s="223" t="str">
        <f>IF(ROUND(U26,0)=ROUND('7.Network costs'!$F$106,0),"Ok","Not ok")</f>
        <v>Ok</v>
      </c>
      <c r="V27" s="223" t="str">
        <f>IF(ROUND(V26,0)=ROUND('7.Network costs'!$F$107,0),"Ok","Not ok")</f>
        <v>Ok</v>
      </c>
      <c r="W27" s="223" t="str">
        <f>IF(ROUND(W26,0)=ROUND('7.Network costs'!$F$108,0),"Ok","Not ok")</f>
        <v>Ok</v>
      </c>
      <c r="X27" s="83"/>
      <c r="Y27" s="223" t="str">
        <f>IF(ROUND(Y26,0)=ROUND('7.Network costs'!$F$109,0),"Ok","Not ok")</f>
        <v>Ok</v>
      </c>
      <c r="Z27" s="228"/>
      <c r="AA27" s="83"/>
      <c r="AB27" s="83"/>
      <c r="AC27" s="83"/>
      <c r="AD27" s="83"/>
      <c r="AE27" s="83"/>
    </row>
    <row r="28" spans="1:31" ht="12.75">
      <c r="A28" s="83"/>
      <c r="B28" s="8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8"/>
      <c r="Z28" s="83"/>
      <c r="AA28" s="83"/>
      <c r="AB28" s="83"/>
      <c r="AC28" s="83"/>
      <c r="AD28" s="83"/>
      <c r="AE28" s="83"/>
    </row>
    <row r="30" spans="3:27" ht="143.25" customHeight="1">
      <c r="C30" s="103">
        <f>'8.Routing factors'!C50</f>
        <v>2009</v>
      </c>
      <c r="D30" s="103" t="str">
        <f>'8.Routing factors'!D50</f>
        <v>Service</v>
      </c>
      <c r="E30" s="225" t="str">
        <f aca="true" t="shared" si="3" ref="E30:U30">E12</f>
        <v>RAU</v>
      </c>
      <c r="F30" s="225" t="str">
        <f t="shared" si="3"/>
        <v>LS</v>
      </c>
      <c r="G30" s="225" t="str">
        <f t="shared" si="3"/>
        <v>TS</v>
      </c>
      <c r="H30" s="225" t="str">
        <f t="shared" si="3"/>
        <v>ISC</v>
      </c>
      <c r="I30" s="225" t="str">
        <f t="shared" si="3"/>
        <v>IGW</v>
      </c>
      <c r="J30" s="225" t="str">
        <f t="shared" si="3"/>
        <v>IN</v>
      </c>
      <c r="K30" s="225" t="str">
        <f t="shared" si="3"/>
        <v>RBIL</v>
      </c>
      <c r="L30" s="225" t="str">
        <f t="shared" si="3"/>
        <v>IBIL</v>
      </c>
      <c r="M30" s="225" t="str">
        <f t="shared" si="3"/>
        <v>NMS</v>
      </c>
      <c r="N30" s="225" t="str">
        <f t="shared" si="3"/>
        <v>OSS</v>
      </c>
      <c r="O30" s="225" t="str">
        <f t="shared" si="3"/>
        <v>Rau-TS</v>
      </c>
      <c r="P30" s="225" t="str">
        <f t="shared" si="3"/>
        <v>LS-TS</v>
      </c>
      <c r="Q30" s="225" t="str">
        <f t="shared" si="3"/>
        <v>TS-TS</v>
      </c>
      <c r="R30" s="225" t="str">
        <f t="shared" si="3"/>
        <v>TS-ISC</v>
      </c>
      <c r="S30" s="225" t="str">
        <f t="shared" si="3"/>
        <v>ISC-ISC</v>
      </c>
      <c r="T30" s="225" t="str">
        <f t="shared" si="3"/>
        <v>ISC-IN</v>
      </c>
      <c r="U30" s="225" t="str">
        <f t="shared" si="3"/>
        <v>TS-IN</v>
      </c>
      <c r="V30" s="225" t="str">
        <f>V12</f>
        <v>TS-IGW</v>
      </c>
      <c r="W30" s="225" t="str">
        <f>W12</f>
        <v>LS-LS</v>
      </c>
      <c r="X30" s="88"/>
      <c r="Y30" s="227" t="s">
        <v>760</v>
      </c>
      <c r="Z30" s="227" t="s">
        <v>576</v>
      </c>
      <c r="AA30" s="227" t="s">
        <v>675</v>
      </c>
    </row>
    <row r="31" spans="3:27" ht="12.75">
      <c r="C31" s="103"/>
      <c r="D31" s="103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88"/>
      <c r="Y31" s="227" t="str">
        <f>'C. Masterfiles'!D$110</f>
        <v>Euro</v>
      </c>
      <c r="Z31" s="227" t="str">
        <f>'2.Traffic'!E$16</f>
        <v>Millions</v>
      </c>
      <c r="AA31" s="227" t="str">
        <f>Y31</f>
        <v>Euro</v>
      </c>
    </row>
    <row r="32" spans="3:27" ht="12.75">
      <c r="C32" s="291" t="str">
        <f>'C. Masterfiles'!C84</f>
        <v>S01</v>
      </c>
      <c r="D32" s="291" t="str">
        <f>'C. Masterfiles'!D84</f>
        <v>On-net local calls</v>
      </c>
      <c r="E32" s="379">
        <f>'8.Routing factors'!E51*'7.Network costs'!$G$90</f>
        <v>4649258.28611501</v>
      </c>
      <c r="F32" s="379">
        <f>'8.Routing factors'!F51*'7.Network costs'!$G$91</f>
        <v>7211869.67843041</v>
      </c>
      <c r="G32" s="379">
        <f>'8.Routing factors'!G51*'7.Network costs'!$G$92</f>
        <v>742854.5694105374</v>
      </c>
      <c r="H32" s="379">
        <f>'8.Routing factors'!H51*'7.Network costs'!$G$93</f>
        <v>183835.59479887912</v>
      </c>
      <c r="I32" s="379">
        <f>'8.Routing factors'!I51*'7.Network costs'!$G$94</f>
        <v>0</v>
      </c>
      <c r="J32" s="379">
        <f>'8.Routing factors'!J51*'7.Network costs'!$G$95</f>
        <v>0</v>
      </c>
      <c r="K32" s="379">
        <f>'8.Routing factors'!K51*'7.Network costs'!$G$96</f>
        <v>735029.8634297037</v>
      </c>
      <c r="L32" s="379">
        <f>'8.Routing factors'!L51*'7.Network costs'!$G$97</f>
        <v>0</v>
      </c>
      <c r="M32" s="379">
        <f>'8.Routing factors'!M51*'7.Network costs'!$G$98</f>
        <v>616461.4437861091</v>
      </c>
      <c r="N32" s="379">
        <f>'8.Routing factors'!N51*'7.Network costs'!$G$99</f>
        <v>421474.9871960317</v>
      </c>
      <c r="O32" s="379">
        <f>'8.Routing factors'!O51*'7.Network costs'!$G$100</f>
        <v>4496238.128731841</v>
      </c>
      <c r="P32" s="379">
        <f>'8.Routing factors'!P51*'7.Network costs'!$G$101</f>
        <v>4098095.0439731637</v>
      </c>
      <c r="Q32" s="379">
        <f>'8.Routing factors'!Q51*'7.Network costs'!$G$102</f>
        <v>16155728.17990569</v>
      </c>
      <c r="R32" s="379">
        <f>'8.Routing factors'!R51*'7.Network costs'!$G$103</f>
        <v>9215284.316397863</v>
      </c>
      <c r="S32" s="379">
        <f>'8.Routing factors'!S51*'7.Network costs'!$G$104</f>
        <v>0</v>
      </c>
      <c r="T32" s="379">
        <f>'8.Routing factors'!T51*'7.Network costs'!$G$105</f>
        <v>0</v>
      </c>
      <c r="U32" s="379">
        <f>'8.Routing factors'!U51*'7.Network costs'!$G$106</f>
        <v>0</v>
      </c>
      <c r="V32" s="379">
        <f>'8.Routing factors'!V51*'7.Network costs'!$G$107</f>
        <v>0</v>
      </c>
      <c r="W32" s="379">
        <f>'8.Routing factors'!W51*'7.Network costs'!$G$108</f>
        <v>29227.5994137895</v>
      </c>
      <c r="X32" s="104"/>
      <c r="Y32" s="336">
        <f aca="true" t="shared" si="4" ref="Y32:Y43">SUM(E32:T32)</f>
        <v>48526130.09217524</v>
      </c>
      <c r="Z32" s="377">
        <f>'2.Traffic'!G52</f>
        <v>2476.74807</v>
      </c>
      <c r="AA32" s="381">
        <f>IF(Y32=0,"",Y32/Z32/1000000)</f>
        <v>0.019592679077842276</v>
      </c>
    </row>
    <row r="33" spans="3:27" ht="12.75">
      <c r="C33" s="291" t="str">
        <f>'C. Masterfiles'!C85</f>
        <v>S02</v>
      </c>
      <c r="D33" s="291" t="str">
        <f>'C. Masterfiles'!D85</f>
        <v>On-net national calls</v>
      </c>
      <c r="E33" s="379">
        <f>'8.Routing factors'!E52*'7.Network costs'!$G$90</f>
        <v>654272.8939674473</v>
      </c>
      <c r="F33" s="379">
        <f>'8.Routing factors'!F52*'7.Network costs'!$G$91</f>
        <v>1014899.701209249</v>
      </c>
      <c r="G33" s="379">
        <f>'8.Routing factors'!G52*'7.Network costs'!$G$92</f>
        <v>139385.56188677798</v>
      </c>
      <c r="H33" s="379">
        <f>'8.Routing factors'!H52*'7.Network costs'!$G$93</f>
        <v>77611.5065380437</v>
      </c>
      <c r="I33" s="379">
        <f>'8.Routing factors'!I52*'7.Network costs'!$G$94</f>
        <v>0</v>
      </c>
      <c r="J33" s="379">
        <f>'8.Routing factors'!J52*'7.Network costs'!$G$95</f>
        <v>0</v>
      </c>
      <c r="K33" s="379">
        <f>'8.Routing factors'!K52*'7.Network costs'!$G$96</f>
        <v>103438.02953148159</v>
      </c>
      <c r="L33" s="379">
        <f>'8.Routing factors'!L52*'7.Network costs'!$G$97</f>
        <v>0</v>
      </c>
      <c r="M33" s="379">
        <f>'8.Routing factors'!M52*'7.Network costs'!$G$98</f>
        <v>86752.33510898799</v>
      </c>
      <c r="N33" s="379">
        <f>'8.Routing factors'!N52*'7.Network costs'!$G$99</f>
        <v>59312.61346163442</v>
      </c>
      <c r="O33" s="379">
        <f>'8.Routing factors'!O52*'7.Network costs'!$G$100</f>
        <v>316369.46706507314</v>
      </c>
      <c r="P33" s="379">
        <f>'8.Routing factors'!P52*'7.Network costs'!$G$101</f>
        <v>288354.86642908014</v>
      </c>
      <c r="Q33" s="379">
        <f>'8.Routing factors'!Q52*'7.Network costs'!$G$102</f>
        <v>0</v>
      </c>
      <c r="R33" s="379">
        <f>'8.Routing factors'!R52*'7.Network costs'!$G$103</f>
        <v>12968328.209316675</v>
      </c>
      <c r="S33" s="379">
        <f>'8.Routing factors'!S52*'7.Network costs'!$G$104</f>
        <v>271277.64187814883</v>
      </c>
      <c r="T33" s="379">
        <f>'8.Routing factors'!T52*'7.Network costs'!$G$105</f>
        <v>0</v>
      </c>
      <c r="U33" s="379">
        <f>'8.Routing factors'!U52*'7.Network costs'!$G$106</f>
        <v>0</v>
      </c>
      <c r="V33" s="379">
        <f>'8.Routing factors'!V52*'7.Network costs'!$G$107</f>
        <v>0</v>
      </c>
      <c r="W33" s="379">
        <f>'8.Routing factors'!W52*'7.Network costs'!$G$108</f>
        <v>0</v>
      </c>
      <c r="X33" s="104"/>
      <c r="Y33" s="336">
        <f t="shared" si="4"/>
        <v>15980002.826392598</v>
      </c>
      <c r="Z33" s="377">
        <f>'2.Traffic'!G53</f>
        <v>348.54358</v>
      </c>
      <c r="AA33" s="381">
        <f aca="true" t="shared" si="5" ref="AA33:AA43">IF(Y33=0,"",Y33/Z33/1000000)</f>
        <v>0.045847933352818025</v>
      </c>
    </row>
    <row r="34" spans="3:27" ht="12.75">
      <c r="C34" s="291" t="str">
        <f>'C. Masterfiles'!C86</f>
        <v>S03</v>
      </c>
      <c r="D34" s="291" t="str">
        <f>'C. Masterfiles'!D86</f>
        <v>Originating calls (local)</v>
      </c>
      <c r="E34" s="379">
        <f>'8.Routing factors'!E53*'7.Network costs'!$G$90</f>
        <v>57540.27703196887</v>
      </c>
      <c r="F34" s="379">
        <f>'8.Routing factors'!F53*'7.Network costs'!$G$91</f>
        <v>89255.73794311602</v>
      </c>
      <c r="G34" s="379">
        <f>'8.Routing factors'!G53*'7.Network costs'!$G$92</f>
        <v>12258.315939985874</v>
      </c>
      <c r="H34" s="379">
        <f>'8.Routing factors'!H53*'7.Network costs'!$G$93</f>
        <v>0</v>
      </c>
      <c r="I34" s="379">
        <f>'8.Routing factors'!I53*'7.Network costs'!$G$94</f>
        <v>29749.062017197644</v>
      </c>
      <c r="J34" s="379">
        <f>'8.Routing factors'!J53*'7.Network costs'!$G$95</f>
        <v>0</v>
      </c>
      <c r="K34" s="379">
        <f>'8.Routing factors'!K53*'7.Network costs'!$G$96</f>
        <v>18193.793231417458</v>
      </c>
      <c r="L34" s="379">
        <f>'8.Routing factors'!L53*'7.Network costs'!$G$97</f>
        <v>0</v>
      </c>
      <c r="M34" s="379">
        <f>'8.Routing factors'!M53*'7.Network costs'!$G$98</f>
        <v>15258.933822160538</v>
      </c>
      <c r="N34" s="379">
        <f>'8.Routing factors'!N53*'7.Network costs'!$G$99</f>
        <v>10432.540432409643</v>
      </c>
      <c r="O34" s="379">
        <f>'8.Routing factors'!O53*'7.Network costs'!$G$100</f>
        <v>55646.46479236959</v>
      </c>
      <c r="P34" s="379">
        <f>'8.Routing factors'!P53*'7.Network costs'!$G$101</f>
        <v>50718.95550259849</v>
      </c>
      <c r="Q34" s="379">
        <f>'8.Routing factors'!Q53*'7.Network costs'!$G$102</f>
        <v>0</v>
      </c>
      <c r="R34" s="379">
        <f>'8.Routing factors'!R53*'7.Network costs'!$G$103</f>
        <v>0</v>
      </c>
      <c r="S34" s="379">
        <f>'8.Routing factors'!S53*'7.Network costs'!$G$104</f>
        <v>0</v>
      </c>
      <c r="T34" s="379">
        <f>'8.Routing factors'!T53*'7.Network costs'!$G$105</f>
        <v>0</v>
      </c>
      <c r="U34" s="379">
        <f>'8.Routing factors'!U53*'7.Network costs'!$G$106</f>
        <v>0</v>
      </c>
      <c r="V34" s="379">
        <f>'8.Routing factors'!V53*'7.Network costs'!$G$107</f>
        <v>14813.494098323537</v>
      </c>
      <c r="W34" s="379">
        <f>'8.Routing factors'!W53*'7.Network costs'!$G$108</f>
        <v>0</v>
      </c>
      <c r="X34" s="104"/>
      <c r="Y34" s="336">
        <f t="shared" si="4"/>
        <v>339054.08071322413</v>
      </c>
      <c r="Z34" s="377">
        <f>'2.Traffic'!G54</f>
        <v>60.8708024</v>
      </c>
      <c r="AA34" s="381">
        <f t="shared" si="5"/>
        <v>0.005570060970860869</v>
      </c>
    </row>
    <row r="35" spans="3:27" ht="12.75">
      <c r="C35" s="291" t="str">
        <f>'C. Masterfiles'!C87</f>
        <v>S04</v>
      </c>
      <c r="D35" s="291" t="str">
        <f>'C. Masterfiles'!D87</f>
        <v>Originating calls (national) </v>
      </c>
      <c r="E35" s="379">
        <f>'8.Routing factors'!E54*'7.Network costs'!$G$90</f>
        <v>90358.64895092917</v>
      </c>
      <c r="F35" s="379">
        <f>'8.Routing factors'!F54*'7.Network costs'!$G$91</f>
        <v>140163.17452168837</v>
      </c>
      <c r="G35" s="379">
        <f>'8.Routing factors'!G54*'7.Network costs'!$G$92</f>
        <v>19249.905003678814</v>
      </c>
      <c r="H35" s="379">
        <f>'8.Routing factors'!H54*'7.Network costs'!$G$93</f>
        <v>35728.572070788716</v>
      </c>
      <c r="I35" s="379">
        <f>'8.Routing factors'!I54*'7.Network costs'!$G$94</f>
        <v>46716.581672658715</v>
      </c>
      <c r="J35" s="379">
        <f>'8.Routing factors'!J54*'7.Network costs'!$G$95</f>
        <v>0</v>
      </c>
      <c r="K35" s="379">
        <f>'8.Routing factors'!K54*'7.Network costs'!$G$96</f>
        <v>28570.710126579124</v>
      </c>
      <c r="L35" s="379">
        <f>'8.Routing factors'!L54*'7.Network costs'!$G$97</f>
        <v>0</v>
      </c>
      <c r="M35" s="379">
        <f>'8.Routing factors'!M54*'7.Network costs'!$G$98</f>
        <v>23961.93963119134</v>
      </c>
      <c r="N35" s="379">
        <f>'8.Routing factors'!N54*'7.Network costs'!$G$99</f>
        <v>16382.78971223476</v>
      </c>
      <c r="O35" s="379">
        <f>'8.Routing factors'!O54*'7.Network costs'!$G$100</f>
        <v>87384.69185228935</v>
      </c>
      <c r="P35" s="379">
        <f>'8.Routing factors'!P54*'7.Network costs'!$G$101</f>
        <v>79646.7540966283</v>
      </c>
      <c r="Q35" s="379">
        <f>'8.Routing factors'!Q54*'7.Network costs'!$G$102</f>
        <v>0</v>
      </c>
      <c r="R35" s="379">
        <f>'8.Routing factors'!R54*'7.Network costs'!$G$103</f>
        <v>1790996.7338557953</v>
      </c>
      <c r="S35" s="379">
        <f>'8.Routing factors'!S54*'7.Network costs'!$G$104</f>
        <v>0</v>
      </c>
      <c r="T35" s="379">
        <f>'8.Routing factors'!T54*'7.Network costs'!$G$105</f>
        <v>0</v>
      </c>
      <c r="U35" s="379">
        <f>'8.Routing factors'!U54*'7.Network costs'!$G$106</f>
        <v>0</v>
      </c>
      <c r="V35" s="379">
        <f>'8.Routing factors'!V54*'7.Network costs'!$G$107</f>
        <v>0</v>
      </c>
      <c r="W35" s="379">
        <f>'8.Routing factors'!W54*'7.Network costs'!$G$108</f>
        <v>0</v>
      </c>
      <c r="X35" s="104"/>
      <c r="Y35" s="336">
        <f t="shared" si="4"/>
        <v>2359160.501494462</v>
      </c>
      <c r="Z35" s="377">
        <f>'2.Traffic'!G55</f>
        <v>81.8976576</v>
      </c>
      <c r="AA35" s="381">
        <f t="shared" si="5"/>
        <v>0.0288062024071182</v>
      </c>
    </row>
    <row r="36" spans="3:27" ht="12.75">
      <c r="C36" s="291" t="str">
        <f>'C. Masterfiles'!C88</f>
        <v>S05</v>
      </c>
      <c r="D36" s="291" t="str">
        <f>'C. Masterfiles'!D88</f>
        <v>Originating calls (international)</v>
      </c>
      <c r="E36" s="379">
        <f>'8.Routing factors'!E55*'7.Network costs'!$G$90</f>
        <v>78584.707404037</v>
      </c>
      <c r="F36" s="379">
        <f>'8.Routing factors'!F55*'7.Network costs'!$G$91</f>
        <v>121899.58777039227</v>
      </c>
      <c r="G36" s="379">
        <f>'8.Routing factors'!G55*'7.Network costs'!$G$92</f>
        <v>16741.597731182675</v>
      </c>
      <c r="H36" s="379">
        <f>'8.Routing factors'!H55*'7.Network costs'!$G$93</f>
        <v>31073.056256869895</v>
      </c>
      <c r="I36" s="379">
        <f>'8.Routing factors'!I55*'7.Network costs'!$G$94</f>
        <v>0</v>
      </c>
      <c r="J36" s="379">
        <f>'8.Routing factors'!J55*'7.Network costs'!$G$95</f>
        <v>0</v>
      </c>
      <c r="K36" s="379">
        <f>'8.Routing factors'!K55*'7.Network costs'!$G$96</f>
        <v>24847.88032678625</v>
      </c>
      <c r="L36" s="379">
        <f>'8.Routing factors'!L55*'7.Network costs'!$G$97</f>
        <v>0</v>
      </c>
      <c r="M36" s="379">
        <f>'8.Routing factors'!M55*'7.Network costs'!$G$98</f>
        <v>20839.643317077353</v>
      </c>
      <c r="N36" s="379">
        <f>'8.Routing factors'!N55*'7.Network costs'!$G$99</f>
        <v>14248.074212541635</v>
      </c>
      <c r="O36" s="379">
        <f>'8.Routing factors'!O55*'7.Network costs'!$G$100</f>
        <v>75998.2638134994</v>
      </c>
      <c r="P36" s="379">
        <f>'8.Routing factors'!P55*'7.Network costs'!$G$101</f>
        <v>69268.59729569317</v>
      </c>
      <c r="Q36" s="379">
        <f>'8.Routing factors'!Q55*'7.Network costs'!$G$102</f>
        <v>0</v>
      </c>
      <c r="R36" s="379">
        <f>'8.Routing factors'!R55*'7.Network costs'!$G$103</f>
        <v>1557625.7051837684</v>
      </c>
      <c r="S36" s="379">
        <f>'8.Routing factors'!S55*'7.Network costs'!$G$104</f>
        <v>0</v>
      </c>
      <c r="T36" s="379">
        <f>'8.Routing factors'!T55*'7.Network costs'!$G$105</f>
        <v>0</v>
      </c>
      <c r="U36" s="379">
        <f>'8.Routing factors'!U55*'7.Network costs'!$G$106</f>
        <v>0</v>
      </c>
      <c r="V36" s="379">
        <f>'8.Routing factors'!V55*'7.Network costs'!$G$107</f>
        <v>0</v>
      </c>
      <c r="W36" s="379">
        <f>'8.Routing factors'!W55*'7.Network costs'!$G$108</f>
        <v>0</v>
      </c>
      <c r="X36" s="104"/>
      <c r="Y36" s="336">
        <f t="shared" si="4"/>
        <v>2011127.1133118481</v>
      </c>
      <c r="Z36" s="377">
        <f>'2.Traffic'!G56</f>
        <v>82.69346</v>
      </c>
      <c r="AA36" s="381">
        <f t="shared" si="5"/>
        <v>0.024320268051570802</v>
      </c>
    </row>
    <row r="37" spans="3:27" ht="12.75">
      <c r="C37" s="291" t="str">
        <f>'C. Masterfiles'!C89</f>
        <v>S06</v>
      </c>
      <c r="D37" s="291" t="str">
        <f>'C. Masterfiles'!D89</f>
        <v>Terminating calls (local)</v>
      </c>
      <c r="E37" s="379">
        <f>'8.Routing factors'!E56*'7.Network costs'!$G$90</f>
        <v>60186.28321029576</v>
      </c>
      <c r="F37" s="379">
        <f>'8.Routing factors'!F56*'7.Network costs'!$G$91</f>
        <v>93360.18870753268</v>
      </c>
      <c r="G37" s="379">
        <f>'8.Routing factors'!G56*'7.Network costs'!$G$92</f>
        <v>12822.018121938607</v>
      </c>
      <c r="H37" s="379">
        <f>'8.Routing factors'!H56*'7.Network costs'!$G$93</f>
        <v>0</v>
      </c>
      <c r="I37" s="379">
        <f>'8.Routing factors'!I56*'7.Network costs'!$G$94</f>
        <v>31117.081184939925</v>
      </c>
      <c r="J37" s="379">
        <f>'8.Routing factors'!J56*'7.Network costs'!$G$95</f>
        <v>0</v>
      </c>
      <c r="K37" s="379">
        <f>'8.Routing factors'!K56*'7.Network costs'!$G$96</f>
        <v>0</v>
      </c>
      <c r="L37" s="379">
        <f>'8.Routing factors'!L56*'7.Network costs'!$G$97</f>
        <v>49471.573374490385</v>
      </c>
      <c r="M37" s="379">
        <f>'8.Routing factors'!M56*'7.Network costs'!$G$98</f>
        <v>15960.620279903618</v>
      </c>
      <c r="N37" s="379">
        <f>'8.Routing factors'!N56*'7.Network costs'!$G$99</f>
        <v>10912.283802857168</v>
      </c>
      <c r="O37" s="379">
        <f>'8.Routing factors'!O56*'7.Network costs'!$G$100</f>
        <v>58205.38347051314</v>
      </c>
      <c r="P37" s="379">
        <f>'8.Routing factors'!P56*'7.Network costs'!$G$101</f>
        <v>53051.281249719934</v>
      </c>
      <c r="Q37" s="379">
        <f>'8.Routing factors'!Q56*'7.Network costs'!$G$102</f>
        <v>0</v>
      </c>
      <c r="R37" s="379">
        <f>'8.Routing factors'!R56*'7.Network costs'!$G$103</f>
        <v>0</v>
      </c>
      <c r="S37" s="379">
        <f>'8.Routing factors'!S56*'7.Network costs'!$G$104</f>
        <v>0</v>
      </c>
      <c r="T37" s="379">
        <f>'8.Routing factors'!T56*'7.Network costs'!$G$105</f>
        <v>0</v>
      </c>
      <c r="U37" s="379">
        <f>'8.Routing factors'!U56*'7.Network costs'!$G$106</f>
        <v>0</v>
      </c>
      <c r="V37" s="379">
        <f>'8.Routing factors'!V56*'7.Network costs'!$G$107</f>
        <v>15494.696882331607</v>
      </c>
      <c r="W37" s="379">
        <f>'8.Routing factors'!W56*'7.Network costs'!$G$108</f>
        <v>0</v>
      </c>
      <c r="X37" s="104"/>
      <c r="Y37" s="336">
        <f t="shared" si="4"/>
        <v>385086.7134021912</v>
      </c>
      <c r="Z37" s="377">
        <f>'2.Traffic'!G57</f>
        <v>64.1247492</v>
      </c>
      <c r="AA37" s="381">
        <f t="shared" si="5"/>
        <v>0.006005274378557589</v>
      </c>
    </row>
    <row r="38" spans="3:27" ht="12.75">
      <c r="C38" s="291" t="str">
        <f>'C. Masterfiles'!C90</f>
        <v>S07</v>
      </c>
      <c r="D38" s="291" t="str">
        <f>'C. Masterfiles'!D90</f>
        <v>Terminating calls (national) </v>
      </c>
      <c r="E38" s="379">
        <f>'8.Routing factors'!E57*'7.Network costs'!$G$90</f>
        <v>82262.37423845103</v>
      </c>
      <c r="F38" s="379">
        <f>'8.Routing factors'!F57*'7.Network costs'!$G$91</f>
        <v>127604.33728058622</v>
      </c>
      <c r="G38" s="379">
        <f>'8.Routing factors'!G57*'7.Network costs'!$G$92</f>
        <v>17525.083739656493</v>
      </c>
      <c r="H38" s="379">
        <f>'8.Routing factors'!H57*'7.Network costs'!$G$93</f>
        <v>32527.236748402796</v>
      </c>
      <c r="I38" s="379">
        <f>'8.Routing factors'!I57*'7.Network costs'!$G$94</f>
        <v>42530.70369372644</v>
      </c>
      <c r="J38" s="379">
        <f>'8.Routing factors'!J57*'7.Network costs'!$G$95</f>
        <v>0</v>
      </c>
      <c r="K38" s="379">
        <f>'8.Routing factors'!K57*'7.Network costs'!$G$96</f>
        <v>0</v>
      </c>
      <c r="L38" s="379">
        <f>'8.Routing factors'!L57*'7.Network costs'!$G$97</f>
        <v>67617.5511433001</v>
      </c>
      <c r="M38" s="379">
        <f>'8.Routing factors'!M57*'7.Network costs'!$G$98</f>
        <v>21814.912775983503</v>
      </c>
      <c r="N38" s="379">
        <f>'8.Routing factors'!N57*'7.Network costs'!$G$99</f>
        <v>14914.866413170766</v>
      </c>
      <c r="O38" s="379">
        <f>'8.Routing factors'!O57*'7.Network costs'!$G$100</f>
        <v>79554.88829595687</v>
      </c>
      <c r="P38" s="379">
        <f>'8.Routing factors'!P57*'7.Network costs'!$G$101</f>
        <v>72510.2817322209</v>
      </c>
      <c r="Q38" s="379">
        <f>'8.Routing factors'!Q57*'7.Network costs'!$G$102</f>
        <v>0</v>
      </c>
      <c r="R38" s="379">
        <f>'8.Routing factors'!R57*'7.Network costs'!$G$103</f>
        <v>1630520.6561941835</v>
      </c>
      <c r="S38" s="379">
        <f>'8.Routing factors'!S57*'7.Network costs'!$G$104</f>
        <v>0</v>
      </c>
      <c r="T38" s="379">
        <f>'8.Routing factors'!T57*'7.Network costs'!$G$105</f>
        <v>0</v>
      </c>
      <c r="U38" s="379">
        <f>'8.Routing factors'!U57*'7.Network costs'!$G$106</f>
        <v>0</v>
      </c>
      <c r="V38" s="379">
        <f>'8.Routing factors'!V57*'7.Network costs'!$G$107</f>
        <v>0</v>
      </c>
      <c r="W38" s="379">
        <f>'8.Routing factors'!W57*'7.Network costs'!$G$108</f>
        <v>0</v>
      </c>
      <c r="X38" s="104"/>
      <c r="Y38" s="336">
        <f t="shared" si="4"/>
        <v>2189382.8922556387</v>
      </c>
      <c r="Z38" s="377">
        <f>'2.Traffic'!G58</f>
        <v>74.55950080000001</v>
      </c>
      <c r="AA38" s="381">
        <f t="shared" si="5"/>
        <v>0.029364237538667085</v>
      </c>
    </row>
    <row r="39" spans="3:27" ht="12.75">
      <c r="C39" s="291" t="str">
        <f>'C. Masterfiles'!C91</f>
        <v>S08</v>
      </c>
      <c r="D39" s="291" t="str">
        <f>'C. Masterfiles'!D91</f>
        <v>Terminating calls (international)</v>
      </c>
      <c r="E39" s="379">
        <f>'8.Routing factors'!E58*'7.Network costs'!$G$90</f>
        <v>338657.5123979491</v>
      </c>
      <c r="F39" s="379">
        <f>'8.Routing factors'!F58*'7.Network costs'!$G$91</f>
        <v>525321.1791501279</v>
      </c>
      <c r="G39" s="379">
        <f>'8.Routing factors'!G58*'7.Network costs'!$G$92</f>
        <v>72147.21576883056</v>
      </c>
      <c r="H39" s="379">
        <f>'8.Routing factors'!H58*'7.Network costs'!$G$93</f>
        <v>133908.03735451077</v>
      </c>
      <c r="I39" s="379">
        <f>'8.Routing factors'!I58*'7.Network costs'!$G$94</f>
        <v>0</v>
      </c>
      <c r="J39" s="379">
        <f>'8.Routing factors'!J58*'7.Network costs'!$G$95</f>
        <v>0</v>
      </c>
      <c r="K39" s="379">
        <f>'8.Routing factors'!K58*'7.Network costs'!$G$96</f>
        <v>0</v>
      </c>
      <c r="L39" s="379">
        <f>'8.Routing factors'!L58*'7.Network costs'!$G$97</f>
        <v>278367.74560206634</v>
      </c>
      <c r="M39" s="379">
        <f>'8.Routing factors'!M58*'7.Network costs'!$G$98</f>
        <v>89807.57195845216</v>
      </c>
      <c r="N39" s="379">
        <f>'8.Routing factors'!N58*'7.Network costs'!$G$99</f>
        <v>61401.480372921</v>
      </c>
      <c r="O39" s="379">
        <f>'8.Routing factors'!O58*'7.Network costs'!$G$100</f>
        <v>327511.3418354551</v>
      </c>
      <c r="P39" s="379">
        <f>'8.Routing factors'!P58*'7.Network costs'!$G$101</f>
        <v>298510.12521870976</v>
      </c>
      <c r="Q39" s="379">
        <f>'8.Routing factors'!Q58*'7.Network costs'!$G$102</f>
        <v>0</v>
      </c>
      <c r="R39" s="379">
        <f>'8.Routing factors'!R58*'7.Network costs'!$G$103</f>
        <v>6712522.881233478</v>
      </c>
      <c r="S39" s="379">
        <f>'8.Routing factors'!S58*'7.Network costs'!$G$104</f>
        <v>0</v>
      </c>
      <c r="T39" s="379">
        <f>'8.Routing factors'!T58*'7.Network costs'!$G$105</f>
        <v>0</v>
      </c>
      <c r="U39" s="379">
        <f>'8.Routing factors'!U58*'7.Network costs'!$G$106</f>
        <v>0</v>
      </c>
      <c r="V39" s="379">
        <f>'8.Routing factors'!V58*'7.Network costs'!$G$107</f>
        <v>0</v>
      </c>
      <c r="W39" s="379">
        <f>'8.Routing factors'!W58*'7.Network costs'!$G$108</f>
        <v>0</v>
      </c>
      <c r="X39" s="104"/>
      <c r="Y39" s="336">
        <f t="shared" si="4"/>
        <v>8838155.090892501</v>
      </c>
      <c r="Z39" s="377">
        <f>'2.Traffic'!G59</f>
        <v>356.36401</v>
      </c>
      <c r="AA39" s="381">
        <f t="shared" si="5"/>
        <v>0.024800919405111928</v>
      </c>
    </row>
    <row r="40" spans="3:27" ht="12.75">
      <c r="C40" s="291" t="str">
        <f>'C. Masterfiles'!C92</f>
        <v>S09</v>
      </c>
      <c r="D40" s="291" t="str">
        <f>'C. Masterfiles'!D92</f>
        <v>Transit calls</v>
      </c>
      <c r="E40" s="379">
        <f>'8.Routing factors'!E59*'7.Network costs'!$G$90</f>
        <v>0</v>
      </c>
      <c r="F40" s="379">
        <f>'8.Routing factors'!F59*'7.Network costs'!$G$91</f>
        <v>0</v>
      </c>
      <c r="G40" s="379">
        <f>'8.Routing factors'!G59*'7.Network costs'!$G$92</f>
        <v>24125.986381670773</v>
      </c>
      <c r="H40" s="379">
        <f>'8.Routing factors'!H59*'7.Network costs'!$G$93</f>
        <v>89557.53735425275</v>
      </c>
      <c r="I40" s="379">
        <f>'8.Routing factors'!I59*'7.Network costs'!$G$94</f>
        <v>117100.17405461268</v>
      </c>
      <c r="J40" s="379">
        <f>'8.Routing factors'!J59*'7.Network costs'!$G$95</f>
        <v>0</v>
      </c>
      <c r="K40" s="379">
        <f>'8.Routing factors'!K59*'7.Network costs'!$G$96</f>
        <v>0</v>
      </c>
      <c r="L40" s="379">
        <f>'8.Routing factors'!L59*'7.Network costs'!$G$97</f>
        <v>93086.0098747329</v>
      </c>
      <c r="M40" s="379">
        <f>'8.Routing factors'!M59*'7.Network costs'!$G$98</f>
        <v>30031.59907075171</v>
      </c>
      <c r="N40" s="379">
        <f>'8.Routing factors'!N59*'7.Network costs'!$G$99</f>
        <v>20532.618805942995</v>
      </c>
      <c r="O40" s="379">
        <f>'8.Routing factors'!O59*'7.Network costs'!$G$100</f>
        <v>0</v>
      </c>
      <c r="P40" s="379">
        <f>'8.Routing factors'!P59*'7.Network costs'!$G$101</f>
        <v>0</v>
      </c>
      <c r="Q40" s="379">
        <f>'8.Routing factors'!Q59*'7.Network costs'!$G$102</f>
        <v>0</v>
      </c>
      <c r="R40" s="379">
        <f>'8.Routing factors'!R59*'7.Network costs'!$G$103</f>
        <v>2244663.690670891</v>
      </c>
      <c r="S40" s="379">
        <f>'8.Routing factors'!S59*'7.Network costs'!$G$104</f>
        <v>469549.39988119504</v>
      </c>
      <c r="T40" s="379">
        <f>'8.Routing factors'!T59*'7.Network costs'!$G$105</f>
        <v>0</v>
      </c>
      <c r="U40" s="379">
        <f>'8.Routing factors'!U59*'7.Network costs'!$G$106</f>
        <v>0</v>
      </c>
      <c r="V40" s="379">
        <f>'8.Routing factors'!V59*'7.Network costs'!$G$107</f>
        <v>29154.914804841115</v>
      </c>
      <c r="W40" s="379">
        <f>'8.Routing factors'!W59*'7.Network costs'!$G$108</f>
        <v>0</v>
      </c>
      <c r="X40" s="104"/>
      <c r="Y40" s="336">
        <f t="shared" si="4"/>
        <v>3088647.0160940504</v>
      </c>
      <c r="Z40" s="377">
        <f>'2.Traffic'!G60</f>
        <v>111.71992</v>
      </c>
      <c r="AA40" s="381">
        <f t="shared" si="5"/>
        <v>0.02764634110097868</v>
      </c>
    </row>
    <row r="41" spans="3:27" ht="12.75">
      <c r="C41" s="291" t="str">
        <f>'C. Masterfiles'!C93</f>
        <v>S10</v>
      </c>
      <c r="D41" s="291" t="str">
        <f>'C. Masterfiles'!D93</f>
        <v>Calls to directory enquiries, emergency &amp; helpdesk</v>
      </c>
      <c r="E41" s="379">
        <f>'8.Routing factors'!E60*'7.Network costs'!$G$90</f>
        <v>2736.1336385886593</v>
      </c>
      <c r="F41" s="379">
        <f>'8.Routing factors'!F60*'7.Network costs'!$G$91</f>
        <v>4244.255322016087</v>
      </c>
      <c r="G41" s="379">
        <f>'8.Routing factors'!G60*'7.Network costs'!$G$92</f>
        <v>582.9028347779446</v>
      </c>
      <c r="H41" s="379">
        <f>'8.Routing factors'!H60*'7.Network costs'!$G$93</f>
        <v>1081.8903230250105</v>
      </c>
      <c r="I41" s="379">
        <f>'8.Routing factors'!I60*'7.Network costs'!$G$94</f>
        <v>0</v>
      </c>
      <c r="J41" s="379">
        <f>'8.Routing factors'!J60*'7.Network costs'!$G$95</f>
        <v>1256518.5673119167</v>
      </c>
      <c r="K41" s="379">
        <f>'8.Routing factors'!K60*'7.Network costs'!$G$96</f>
        <v>865.1444212955437</v>
      </c>
      <c r="L41" s="379">
        <f>'8.Routing factors'!L60*'7.Network costs'!$G$97</f>
        <v>0</v>
      </c>
      <c r="M41" s="379">
        <f>'8.Routing factors'!M60*'7.Network costs'!$G$98</f>
        <v>725.587089137848</v>
      </c>
      <c r="N41" s="379">
        <f>'8.Routing factors'!N60*'7.Network costs'!$G$99</f>
        <v>496.08424368886944</v>
      </c>
      <c r="O41" s="379">
        <f>'8.Routing factors'!O60*'7.Network costs'!$G$100</f>
        <v>2646.079790376222</v>
      </c>
      <c r="P41" s="379">
        <f>'8.Routing factors'!P60*'7.Network costs'!$G$101</f>
        <v>2411.7687196333723</v>
      </c>
      <c r="Q41" s="379">
        <f>'8.Routing factors'!Q60*'7.Network costs'!$G$102</f>
        <v>0</v>
      </c>
      <c r="R41" s="379">
        <f>'8.Routing factors'!R60*'7.Network costs'!$G$103</f>
        <v>54232.84286561779</v>
      </c>
      <c r="S41" s="379">
        <f>'8.Routing factors'!S60*'7.Network costs'!$G$104</f>
        <v>0</v>
      </c>
      <c r="T41" s="379">
        <f>'8.Routing factors'!T60*'7.Network costs'!$G$105</f>
        <v>1761.6367846966061</v>
      </c>
      <c r="U41" s="379">
        <f>'8.Routing factors'!U60*'7.Network costs'!$G$106</f>
        <v>4110.485830958748</v>
      </c>
      <c r="V41" s="379">
        <f>'8.Routing factors'!V60*'7.Network costs'!$G$107</f>
        <v>0</v>
      </c>
      <c r="W41" s="379">
        <f>'8.Routing factors'!W60*'7.Network costs'!$G$108</f>
        <v>0</v>
      </c>
      <c r="X41" s="104"/>
      <c r="Y41" s="336">
        <f t="shared" si="4"/>
        <v>1328302.8933447707</v>
      </c>
      <c r="Z41" s="377">
        <f>'2.Traffic'!G61</f>
        <v>2.51929185</v>
      </c>
      <c r="AA41" s="381">
        <f t="shared" si="5"/>
        <v>0.5272524869815185</v>
      </c>
    </row>
    <row r="42" spans="3:27" ht="12.75">
      <c r="C42" s="291" t="str">
        <f>'C. Masterfiles'!C94</f>
        <v>S11</v>
      </c>
      <c r="D42" s="291" t="str">
        <f>'C. Masterfiles'!D94</f>
        <v>Calls to non-geographic numbers</v>
      </c>
      <c r="E42" s="379">
        <f>'8.Routing factors'!E61*'7.Network costs'!$G$90</f>
        <v>1519.1750933971655</v>
      </c>
      <c r="F42" s="379">
        <f>'8.Routing factors'!F61*'7.Network costs'!$G$91</f>
        <v>2356.5248730142675</v>
      </c>
      <c r="G42" s="379">
        <f>'8.Routing factors'!G61*'7.Network costs'!$G$92</f>
        <v>323.64335424859854</v>
      </c>
      <c r="H42" s="379">
        <f>'8.Routing factors'!H61*'7.Network costs'!$G$93</f>
        <v>600.6946478589382</v>
      </c>
      <c r="I42" s="379">
        <f>'8.Routing factors'!I61*'7.Network costs'!$G$94</f>
        <v>0</v>
      </c>
      <c r="J42" s="379">
        <f>'8.Routing factors'!J61*'7.Network costs'!$G$95</f>
        <v>697652.952666442</v>
      </c>
      <c r="K42" s="379">
        <f>'8.Routing factors'!K61*'7.Network costs'!$G$96</f>
        <v>480.35148520802284</v>
      </c>
      <c r="L42" s="379">
        <f>'8.Routing factors'!L61*'7.Network costs'!$G$97</f>
        <v>0</v>
      </c>
      <c r="M42" s="379">
        <f>'8.Routing factors'!M61*'7.Network costs'!$G$98</f>
        <v>402.8654954431787</v>
      </c>
      <c r="N42" s="379">
        <f>'8.Routing factors'!N61*'7.Network costs'!$G$99</f>
        <v>275.43933403327446</v>
      </c>
      <c r="O42" s="379">
        <f>'8.Routing factors'!O61*'7.Network costs'!$G$100</f>
        <v>1469.1747712858992</v>
      </c>
      <c r="P42" s="379">
        <f>'8.Routing factors'!P61*'7.Network costs'!$G$101</f>
        <v>1339.07895368418</v>
      </c>
      <c r="Q42" s="379">
        <f>'8.Routing factors'!Q61*'7.Network costs'!$G$102</f>
        <v>0</v>
      </c>
      <c r="R42" s="379">
        <f>'8.Routing factors'!R61*'7.Network costs'!$G$103</f>
        <v>30111.535110568046</v>
      </c>
      <c r="S42" s="379">
        <f>'8.Routing factors'!S61*'7.Network costs'!$G$104</f>
        <v>0</v>
      </c>
      <c r="T42" s="379">
        <f>'8.Routing factors'!T61*'7.Network costs'!$G$105</f>
        <v>978.1081922240439</v>
      </c>
      <c r="U42" s="379">
        <f>'8.Routing factors'!U61*'7.Network costs'!$G$106</f>
        <v>2282.252448522769</v>
      </c>
      <c r="V42" s="379">
        <f>'8.Routing factors'!V61*'7.Network costs'!$G$107</f>
        <v>0</v>
      </c>
      <c r="W42" s="379">
        <f>'8.Routing factors'!W61*'7.Network costs'!$G$108</f>
        <v>0</v>
      </c>
      <c r="X42" s="104"/>
      <c r="Y42" s="336">
        <f t="shared" si="4"/>
        <v>737509.5439774077</v>
      </c>
      <c r="Z42" s="377">
        <f>'2.Traffic'!G62</f>
        <v>1.57776352</v>
      </c>
      <c r="AA42" s="381">
        <f t="shared" si="5"/>
        <v>0.4674398505407247</v>
      </c>
    </row>
    <row r="43" spans="3:27" ht="12.75">
      <c r="C43" s="291" t="str">
        <f>'C. Masterfiles'!C95</f>
        <v>S12</v>
      </c>
      <c r="D43" s="291" t="str">
        <f>'C. Masterfiles'!D95</f>
        <v>Internet dial-up calls</v>
      </c>
      <c r="E43" s="379">
        <f>'8.Routing factors'!E62*'7.Network costs'!$G$90</f>
        <v>207658.39311066022</v>
      </c>
      <c r="F43" s="379">
        <f>'8.Routing factors'!F62*'7.Network costs'!$G$91</f>
        <v>322117.0295526374</v>
      </c>
      <c r="G43" s="379">
        <f>'8.Routing factors'!G62*'7.Network costs'!$G$92</f>
        <v>44239.310647148566</v>
      </c>
      <c r="H43" s="379">
        <f>'8.Routing factors'!H62*'7.Network costs'!$G$93</f>
        <v>82109.88046520704</v>
      </c>
      <c r="I43" s="379">
        <f>'8.Routing factors'!I62*'7.Network costs'!$G$94</f>
        <v>0</v>
      </c>
      <c r="J43" s="379">
        <f>'8.Routing factors'!J62*'7.Network costs'!$G$95</f>
        <v>0</v>
      </c>
      <c r="K43" s="379">
        <f>'8.Routing factors'!K62*'7.Network costs'!$G$96</f>
        <v>65659.98743670768</v>
      </c>
      <c r="L43" s="379">
        <f>'8.Routing factors'!L62*'7.Network costs'!$G$97</f>
        <v>0</v>
      </c>
      <c r="M43" s="379">
        <f>'8.Routing factors'!M62*'7.Network costs'!$G$98</f>
        <v>55068.30765398105</v>
      </c>
      <c r="N43" s="379">
        <f>'8.Routing factors'!N62*'7.Network costs'!$G$99</f>
        <v>37650.22857037243</v>
      </c>
      <c r="O43" s="379">
        <f>'8.Routing factors'!O62*'7.Network costs'!$G$100</f>
        <v>200823.77174952228</v>
      </c>
      <c r="P43" s="379">
        <f>'8.Routing factors'!P62*'7.Network costs'!$G$101</f>
        <v>183040.77323209745</v>
      </c>
      <c r="Q43" s="379">
        <f>'8.Routing factors'!Q62*'7.Network costs'!$G$102</f>
        <v>0</v>
      </c>
      <c r="R43" s="379">
        <f>'8.Routing factors'!R62*'7.Network costs'!$G$103</f>
        <v>4115992.30551699</v>
      </c>
      <c r="S43" s="379">
        <f>'8.Routing factors'!S62*'7.Network costs'!$G$104</f>
        <v>0</v>
      </c>
      <c r="T43" s="379">
        <f>'8.Routing factors'!T62*'7.Network costs'!$G$105</f>
        <v>0</v>
      </c>
      <c r="U43" s="379">
        <f>'8.Routing factors'!U62*'7.Network costs'!$G$106</f>
        <v>0</v>
      </c>
      <c r="V43" s="379">
        <f>'8.Routing factors'!V62*'7.Network costs'!$G$107</f>
        <v>0</v>
      </c>
      <c r="W43" s="379">
        <f>'8.Routing factors'!W62*'7.Network costs'!$G$108</f>
        <v>0</v>
      </c>
      <c r="X43" s="104"/>
      <c r="Y43" s="336">
        <f t="shared" si="4"/>
        <v>5314359.987935324</v>
      </c>
      <c r="Z43" s="377">
        <f>'2.Traffic'!G63</f>
        <v>240.48601</v>
      </c>
      <c r="AA43" s="381">
        <f t="shared" si="5"/>
        <v>0.022098416402414944</v>
      </c>
    </row>
    <row r="44" spans="3:27" ht="12.75">
      <c r="C44" s="90"/>
      <c r="D44" s="90" t="s">
        <v>635</v>
      </c>
      <c r="E44" s="380">
        <f aca="true" t="shared" si="6" ref="E44:U44">SUM(E32:E43)</f>
        <v>6223034.685158734</v>
      </c>
      <c r="F44" s="380">
        <f t="shared" si="6"/>
        <v>9653091.394760773</v>
      </c>
      <c r="G44" s="380">
        <f t="shared" si="6"/>
        <v>1102256.1108204343</v>
      </c>
      <c r="H44" s="380">
        <f t="shared" si="6"/>
        <v>668034.0065578389</v>
      </c>
      <c r="I44" s="380">
        <f t="shared" si="6"/>
        <v>267213.60262313543</v>
      </c>
      <c r="J44" s="380">
        <f t="shared" si="6"/>
        <v>1954171.5199783589</v>
      </c>
      <c r="K44" s="380">
        <f t="shared" si="6"/>
        <v>977085.7599891793</v>
      </c>
      <c r="L44" s="380">
        <f t="shared" si="6"/>
        <v>488542.8799945897</v>
      </c>
      <c r="M44" s="380">
        <f t="shared" si="6"/>
        <v>977085.7599891793</v>
      </c>
      <c r="N44" s="380">
        <f t="shared" si="6"/>
        <v>668034.0065578386</v>
      </c>
      <c r="O44" s="380">
        <f t="shared" si="6"/>
        <v>5701847.656168182</v>
      </c>
      <c r="P44" s="380">
        <f t="shared" si="6"/>
        <v>5196947.52640323</v>
      </c>
      <c r="Q44" s="380">
        <f t="shared" si="6"/>
        <v>16155728.17990569</v>
      </c>
      <c r="R44" s="380">
        <f t="shared" si="6"/>
        <v>40320278.87634583</v>
      </c>
      <c r="S44" s="380">
        <f t="shared" si="6"/>
        <v>740827.0417593438</v>
      </c>
      <c r="T44" s="380">
        <f t="shared" si="6"/>
        <v>2739.74497692065</v>
      </c>
      <c r="U44" s="380">
        <f t="shared" si="6"/>
        <v>6392.738279481517</v>
      </c>
      <c r="V44" s="380">
        <f>SUM(V32:V43)</f>
        <v>59463.10578549626</v>
      </c>
      <c r="W44" s="380">
        <f>SUM(W32:W43)</f>
        <v>29227.5994137895</v>
      </c>
      <c r="X44" s="55"/>
      <c r="Y44" s="380">
        <f>SUM(Y32:Y43)</f>
        <v>91096918.75198926</v>
      </c>
      <c r="Z44" s="157"/>
      <c r="AA44" s="157"/>
    </row>
    <row r="45" spans="3:27" ht="12.75">
      <c r="C45" s="83"/>
      <c r="D45" s="102"/>
      <c r="E45" s="223" t="str">
        <f>IF(ROUND(E44,0)=ROUND('7.Network costs'!$G$90,0),"Ok","Not ok")</f>
        <v>Ok</v>
      </c>
      <c r="F45" s="223" t="str">
        <f>IF(ROUND(F44,0)=ROUND('7.Network costs'!$G$91,0),"Ok","Not ok")</f>
        <v>Ok</v>
      </c>
      <c r="G45" s="223" t="str">
        <f>IF(ROUND(G44,0)=ROUND('7.Network costs'!$G$92,0),"Ok","Not ok")</f>
        <v>Ok</v>
      </c>
      <c r="H45" s="223" t="str">
        <f>IF(ROUND(H44,0)=ROUND('7.Network costs'!$G$93,0),"Ok","Not ok")</f>
        <v>Ok</v>
      </c>
      <c r="I45" s="223" t="str">
        <f>IF(ROUND(I44,0)=ROUND('7.Network costs'!$G$94,0),"Ok","Not ok")</f>
        <v>Ok</v>
      </c>
      <c r="J45" s="223" t="str">
        <f>IF(ROUND(J44,0)=ROUND('7.Network costs'!$G$95,0),"Ok","Not ok")</f>
        <v>Ok</v>
      </c>
      <c r="K45" s="223" t="str">
        <f>IF(ROUND(K44,0)=ROUND('7.Network costs'!$G$96,0),"Ok","Not ok")</f>
        <v>Ok</v>
      </c>
      <c r="L45" s="223" t="str">
        <f>IF(ROUND(L44,0)=ROUND('7.Network costs'!$G$97,0),"Ok","Not ok")</f>
        <v>Ok</v>
      </c>
      <c r="M45" s="223" t="str">
        <f>IF(ROUND(M44,0)=ROUND('7.Network costs'!$G$98,0),"Ok","Not ok")</f>
        <v>Ok</v>
      </c>
      <c r="N45" s="223" t="str">
        <f>IF(ROUND(N44,0)=ROUND('7.Network costs'!$G$99,0),"Ok","Not ok")</f>
        <v>Ok</v>
      </c>
      <c r="O45" s="223" t="str">
        <f>IF(ROUND(O44,0)=ROUND('7.Network costs'!$G$100,0),"Ok","Not ok")</f>
        <v>Ok</v>
      </c>
      <c r="P45" s="223" t="str">
        <f>IF(ROUND(P44,0)=ROUND('7.Network costs'!$G$101,0),"Ok","Not ok")</f>
        <v>Ok</v>
      </c>
      <c r="Q45" s="223" t="str">
        <f>IF(ROUND(Q44,0)=ROUND('7.Network costs'!$G$102,0),"Ok","Not ok")</f>
        <v>Ok</v>
      </c>
      <c r="R45" s="223" t="str">
        <f>IF(ROUND(R44,0)=ROUND('7.Network costs'!$G$103,0),"Ok","Not ok")</f>
        <v>Ok</v>
      </c>
      <c r="S45" s="223" t="str">
        <f>IF(ROUND(S44,0)=ROUND('7.Network costs'!$G$104,0),"Ok","Not ok")</f>
        <v>Ok</v>
      </c>
      <c r="T45" s="223" t="str">
        <f>IF(ROUND(T44,0)=ROUND('7.Network costs'!$G$105,0),"Ok","Not ok")</f>
        <v>Ok</v>
      </c>
      <c r="U45" s="223" t="str">
        <f>IF(ROUND(U44,0)=ROUND('7.Network costs'!$G$106,0),"Ok","Not ok")</f>
        <v>Ok</v>
      </c>
      <c r="V45" s="223" t="str">
        <f>IF(ROUND(V44,0)=ROUND('7.Network costs'!$G$107,0),"Ok","Not ok")</f>
        <v>Ok</v>
      </c>
      <c r="W45" s="223" t="str">
        <f>IF(ROUND(W44,0)=ROUND('7.Network costs'!$G$108,0),"Ok","Not ok")</f>
        <v>Ok</v>
      </c>
      <c r="X45" s="83"/>
      <c r="Y45" s="223" t="str">
        <f>IF(ROUND(Y44,0)=ROUND('7.Network costs'!$F$109,0),"Ok","Not ok")</f>
        <v>Not ok</v>
      </c>
      <c r="Z45" s="228"/>
      <c r="AA45" s="83"/>
    </row>
    <row r="48" spans="3:27" ht="39.75">
      <c r="C48" s="103">
        <f>'8.Routing factors'!C68</f>
        <v>2010</v>
      </c>
      <c r="D48" s="103" t="str">
        <f>'8.Routing factors'!D68</f>
        <v>Service</v>
      </c>
      <c r="E48" s="225" t="str">
        <f aca="true" t="shared" si="7" ref="E48:U48">E30</f>
        <v>RAU</v>
      </c>
      <c r="F48" s="225" t="str">
        <f t="shared" si="7"/>
        <v>LS</v>
      </c>
      <c r="G48" s="225" t="str">
        <f t="shared" si="7"/>
        <v>TS</v>
      </c>
      <c r="H48" s="225" t="str">
        <f t="shared" si="7"/>
        <v>ISC</v>
      </c>
      <c r="I48" s="225" t="str">
        <f t="shared" si="7"/>
        <v>IGW</v>
      </c>
      <c r="J48" s="225" t="str">
        <f t="shared" si="7"/>
        <v>IN</v>
      </c>
      <c r="K48" s="225" t="str">
        <f t="shared" si="7"/>
        <v>RBIL</v>
      </c>
      <c r="L48" s="225" t="str">
        <f t="shared" si="7"/>
        <v>IBIL</v>
      </c>
      <c r="M48" s="225" t="str">
        <f t="shared" si="7"/>
        <v>NMS</v>
      </c>
      <c r="N48" s="225" t="str">
        <f t="shared" si="7"/>
        <v>OSS</v>
      </c>
      <c r="O48" s="225" t="str">
        <f t="shared" si="7"/>
        <v>Rau-TS</v>
      </c>
      <c r="P48" s="225" t="str">
        <f t="shared" si="7"/>
        <v>LS-TS</v>
      </c>
      <c r="Q48" s="225" t="str">
        <f t="shared" si="7"/>
        <v>TS-TS</v>
      </c>
      <c r="R48" s="225" t="str">
        <f t="shared" si="7"/>
        <v>TS-ISC</v>
      </c>
      <c r="S48" s="225" t="str">
        <f t="shared" si="7"/>
        <v>ISC-ISC</v>
      </c>
      <c r="T48" s="225" t="str">
        <f t="shared" si="7"/>
        <v>ISC-IN</v>
      </c>
      <c r="U48" s="225" t="str">
        <f t="shared" si="7"/>
        <v>TS-IN</v>
      </c>
      <c r="V48" s="225" t="str">
        <f>V30</f>
        <v>TS-IGW</v>
      </c>
      <c r="W48" s="225" t="str">
        <f>W30</f>
        <v>LS-LS</v>
      </c>
      <c r="X48" s="88"/>
      <c r="Y48" s="227" t="s">
        <v>760</v>
      </c>
      <c r="Z48" s="227" t="s">
        <v>576</v>
      </c>
      <c r="AA48" s="227" t="s">
        <v>675</v>
      </c>
    </row>
    <row r="49" spans="3:27" ht="12.75">
      <c r="C49" s="103"/>
      <c r="D49" s="103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88"/>
      <c r="Y49" s="227" t="str">
        <f>'C. Masterfiles'!D$110</f>
        <v>Euro</v>
      </c>
      <c r="Z49" s="227" t="str">
        <f>'2.Traffic'!E$16</f>
        <v>Millions</v>
      </c>
      <c r="AA49" s="227" t="str">
        <f>Y49</f>
        <v>Euro</v>
      </c>
    </row>
    <row r="50" spans="3:27" ht="12.75">
      <c r="C50" s="291" t="str">
        <f>'C. Masterfiles'!C84</f>
        <v>S01</v>
      </c>
      <c r="D50" s="291" t="str">
        <f>'C. Masterfiles'!D84</f>
        <v>On-net local calls</v>
      </c>
      <c r="E50" s="379">
        <f>'8.Routing factors'!E69*'7.Network costs'!$H$90</f>
        <v>5611918.374270575</v>
      </c>
      <c r="F50" s="379">
        <f>'8.Routing factors'!F69*'7.Network costs'!$H$91</f>
        <v>6416761.854358341</v>
      </c>
      <c r="G50" s="379">
        <f>'8.Routing factors'!G69*'7.Network costs'!$H$92</f>
        <v>734552.392815514</v>
      </c>
      <c r="H50" s="379">
        <f>'8.Routing factors'!H69*'7.Network costs'!$H$93</f>
        <v>195568.17534363922</v>
      </c>
      <c r="I50" s="379">
        <f>'8.Routing factors'!I69*'7.Network costs'!$H$94</f>
        <v>0</v>
      </c>
      <c r="J50" s="379">
        <f>'8.Routing factors'!J69*'7.Network costs'!$H$95</f>
        <v>0</v>
      </c>
      <c r="K50" s="379">
        <f>'8.Routing factors'!K69*'7.Network costs'!$H$96</f>
        <v>788524.566249588</v>
      </c>
      <c r="L50" s="379">
        <f>'8.Routing factors'!L69*'7.Network costs'!$H$97</f>
        <v>0</v>
      </c>
      <c r="M50" s="379">
        <f>'8.Routing factors'!M69*'7.Network costs'!$H$98</f>
        <v>648495.6547847824</v>
      </c>
      <c r="N50" s="379">
        <f>'8.Routing factors'!N69*'7.Network costs'!$H$99</f>
        <v>433290.8851092672</v>
      </c>
      <c r="O50" s="379">
        <f>'8.Routing factors'!O69*'7.Network costs'!$H$100</f>
        <v>4234387.830758413</v>
      </c>
      <c r="P50" s="379">
        <f>'8.Routing factors'!P69*'7.Network costs'!$H$101</f>
        <v>3859038.498067549</v>
      </c>
      <c r="Q50" s="379">
        <f>'8.Routing factors'!Q69*'7.Network costs'!$H$102</f>
        <v>15216762.781415448</v>
      </c>
      <c r="R50" s="379">
        <f>'8.Routing factors'!R69*'7.Network costs'!$H$103</f>
        <v>8677315.54183542</v>
      </c>
      <c r="S50" s="379">
        <f>'8.Routing factors'!S69*'7.Network costs'!$H$104</f>
        <v>0</v>
      </c>
      <c r="T50" s="379">
        <f>'8.Routing factors'!T69*'7.Network costs'!$H$105</f>
        <v>0</v>
      </c>
      <c r="U50" s="379">
        <f>'8.Routing factors'!U69*'7.Network costs'!$H$106</f>
        <v>0</v>
      </c>
      <c r="V50" s="379">
        <f>'8.Routing factors'!V69*'7.Network costs'!$H$107</f>
        <v>0</v>
      </c>
      <c r="W50" s="379">
        <f>'8.Routing factors'!W69*'7.Network costs'!$H$108</f>
        <v>27766.219443100024</v>
      </c>
      <c r="X50" s="104"/>
      <c r="Y50" s="336">
        <f aca="true" t="shared" si="8" ref="Y50:Y61">SUM(E50:T50)</f>
        <v>46816616.55500854</v>
      </c>
      <c r="Z50" s="377">
        <f>'2.Traffic'!H52</f>
        <v>2417.76</v>
      </c>
      <c r="AA50" s="381">
        <f>IF(Y50=0,"",Y50/Z50/1000000)</f>
        <v>0.019363632682734652</v>
      </c>
    </row>
    <row r="51" spans="3:27" ht="12.75">
      <c r="C51" s="291" t="str">
        <f>'C. Masterfiles'!C85</f>
        <v>S02</v>
      </c>
      <c r="D51" s="291" t="str">
        <f>'C. Masterfiles'!D85</f>
        <v>On-net national calls</v>
      </c>
      <c r="E51" s="379">
        <f>'8.Routing factors'!E70*'7.Network costs'!$H$90</f>
        <v>751242.4000695072</v>
      </c>
      <c r="F51" s="379">
        <f>'8.Routing factors'!F70*'7.Network costs'!$H$91</f>
        <v>858983.1951661601</v>
      </c>
      <c r="G51" s="379">
        <f>'8.Routing factors'!G70*'7.Network costs'!$H$92</f>
        <v>131108.32238414403</v>
      </c>
      <c r="H51" s="379">
        <f>'8.Routing factors'!H70*'7.Network costs'!$H$93</f>
        <v>78539.50946398036</v>
      </c>
      <c r="I51" s="379">
        <f>'8.Routing factors'!I70*'7.Network costs'!$H$94</f>
        <v>0</v>
      </c>
      <c r="J51" s="379">
        <f>'8.Routing factors'!J70*'7.Network costs'!$H$95</f>
        <v>0</v>
      </c>
      <c r="K51" s="379">
        <f>'8.Routing factors'!K70*'7.Network costs'!$H$96</f>
        <v>105556.25512641262</v>
      </c>
      <c r="L51" s="379">
        <f>'8.Routing factors'!L70*'7.Network costs'!$H$97</f>
        <v>0</v>
      </c>
      <c r="M51" s="379">
        <f>'8.Routing factors'!M70*'7.Network costs'!$H$98</f>
        <v>86811.21136201285</v>
      </c>
      <c r="N51" s="379">
        <f>'8.Routing factors'!N70*'7.Network costs'!$H$99</f>
        <v>58002.711862329175</v>
      </c>
      <c r="O51" s="379">
        <f>'8.Routing factors'!O70*'7.Network costs'!$H$100</f>
        <v>283419.27525073197</v>
      </c>
      <c r="P51" s="379">
        <f>'8.Routing factors'!P70*'7.Network costs'!$H$101</f>
        <v>258296.10748977677</v>
      </c>
      <c r="Q51" s="379">
        <f>'8.Routing factors'!Q70*'7.Network costs'!$H$102</f>
        <v>0</v>
      </c>
      <c r="R51" s="379">
        <f>'8.Routing factors'!R70*'7.Network costs'!$H$103</f>
        <v>11615934.015890192</v>
      </c>
      <c r="S51" s="379">
        <f>'8.Routing factors'!S70*'7.Network costs'!$H$104</f>
        <v>245483.66708295816</v>
      </c>
      <c r="T51" s="379">
        <f>'8.Routing factors'!T70*'7.Network costs'!$H$105</f>
        <v>0</v>
      </c>
      <c r="U51" s="379">
        <f>'8.Routing factors'!U70*'7.Network costs'!$H$106</f>
        <v>0</v>
      </c>
      <c r="V51" s="379">
        <f>'8.Routing factors'!V70*'7.Network costs'!$H$107</f>
        <v>0</v>
      </c>
      <c r="W51" s="379">
        <f>'8.Routing factors'!W70*'7.Network costs'!$H$108</f>
        <v>0</v>
      </c>
      <c r="X51" s="104"/>
      <c r="Y51" s="336">
        <f t="shared" si="8"/>
        <v>14473376.671148205</v>
      </c>
      <c r="Z51" s="377">
        <f>'2.Traffic'!H53</f>
        <v>323.654712</v>
      </c>
      <c r="AA51" s="381">
        <f aca="true" t="shared" si="9" ref="AA51:AA61">IF(Y51=0,"",Y51/Z51/1000000)</f>
        <v>0.04471857239992293</v>
      </c>
    </row>
    <row r="52" spans="3:27" ht="12.75">
      <c r="C52" s="291" t="str">
        <f>'C. Masterfiles'!C86</f>
        <v>S03</v>
      </c>
      <c r="D52" s="291" t="str">
        <f>'C. Masterfiles'!D86</f>
        <v>Originating calls (local)</v>
      </c>
      <c r="E52" s="379">
        <f>'8.Routing factors'!E71*'7.Network costs'!$H$90</f>
        <v>69112.28593367891</v>
      </c>
      <c r="F52" s="379">
        <f>'8.Routing factors'!F71*'7.Network costs'!$H$91</f>
        <v>79024.15011593599</v>
      </c>
      <c r="G52" s="379">
        <f>'8.Routing factors'!G71*'7.Network costs'!$H$92</f>
        <v>12061.614019735242</v>
      </c>
      <c r="H52" s="379">
        <f>'8.Routing factors'!H71*'7.Network costs'!$H$93</f>
        <v>0</v>
      </c>
      <c r="I52" s="379">
        <f>'8.Routing factors'!I71*'7.Network costs'!$H$94</f>
        <v>26559.52064022236</v>
      </c>
      <c r="J52" s="379">
        <f>'8.Routing factors'!J71*'7.Network costs'!$H$95</f>
        <v>0</v>
      </c>
      <c r="K52" s="379">
        <f>'8.Routing factors'!K71*'7.Network costs'!$H$96</f>
        <v>19421.78472809845</v>
      </c>
      <c r="L52" s="379">
        <f>'8.Routing factors'!L71*'7.Network costs'!$H$97</f>
        <v>0</v>
      </c>
      <c r="M52" s="379">
        <f>'8.Routing factors'!M71*'7.Network costs'!$H$98</f>
        <v>15972.797225889692</v>
      </c>
      <c r="N52" s="379">
        <f>'8.Routing factors'!N71*'7.Network costs'!$H$99</f>
        <v>10672.187849852957</v>
      </c>
      <c r="O52" s="379">
        <f>'8.Routing factors'!O71*'7.Network costs'!$H$100</f>
        <v>52147.626354509055</v>
      </c>
      <c r="P52" s="379">
        <f>'8.Routing factors'!P71*'7.Network costs'!$H$101</f>
        <v>47525.09824988059</v>
      </c>
      <c r="Q52" s="379">
        <f>'8.Routing factors'!Q71*'7.Network costs'!$H$102</f>
        <v>0</v>
      </c>
      <c r="R52" s="379">
        <f>'8.Routing factors'!R71*'7.Network costs'!$H$103</f>
        <v>0</v>
      </c>
      <c r="S52" s="379">
        <f>'8.Routing factors'!S71*'7.Network costs'!$H$104</f>
        <v>0</v>
      </c>
      <c r="T52" s="379">
        <f>'8.Routing factors'!T71*'7.Network costs'!$H$105</f>
        <v>0</v>
      </c>
      <c r="U52" s="379">
        <f>'8.Routing factors'!U71*'7.Network costs'!$H$106</f>
        <v>0</v>
      </c>
      <c r="V52" s="379">
        <f>'8.Routing factors'!V71*'7.Network costs'!$H$107</f>
        <v>13868.489407415133</v>
      </c>
      <c r="W52" s="379">
        <f>'8.Routing factors'!W71*'7.Network costs'!$H$108</f>
        <v>0</v>
      </c>
      <c r="X52" s="104"/>
      <c r="Y52" s="336">
        <f t="shared" si="8"/>
        <v>332497.0651178033</v>
      </c>
      <c r="Z52" s="377">
        <f>'2.Traffic'!H54</f>
        <v>59.128385279999996</v>
      </c>
      <c r="AA52" s="381">
        <f t="shared" si="9"/>
        <v>0.005623307038460079</v>
      </c>
    </row>
    <row r="53" spans="3:27" ht="12.75">
      <c r="C53" s="291" t="str">
        <f>'C. Masterfiles'!C87</f>
        <v>S04</v>
      </c>
      <c r="D53" s="291" t="str">
        <f>'C. Masterfiles'!D87</f>
        <v>Originating calls (national) </v>
      </c>
      <c r="E53" s="379">
        <f>'8.Routing factors'!E72*'7.Network costs'!$H$90</f>
        <v>97151.19136708601</v>
      </c>
      <c r="F53" s="379">
        <f>'8.Routing factors'!F72*'7.Network costs'!$H$91</f>
        <v>111084.30616666132</v>
      </c>
      <c r="G53" s="379">
        <f>'8.Routing factors'!G72*'7.Network costs'!$H$92</f>
        <v>16955.019733419052</v>
      </c>
      <c r="H53" s="379">
        <f>'8.Routing factors'!H72*'7.Network costs'!$H$93</f>
        <v>33855.94721981547</v>
      </c>
      <c r="I53" s="379">
        <f>'8.Routing factors'!I72*'7.Network costs'!$H$94</f>
        <v>37334.73777458893</v>
      </c>
      <c r="J53" s="379">
        <f>'8.Routing factors'!J72*'7.Network costs'!$H$95</f>
        <v>0</v>
      </c>
      <c r="K53" s="379">
        <f>'8.Routing factors'!K72*'7.Network costs'!$H$96</f>
        <v>27301.21713265985</v>
      </c>
      <c r="L53" s="379">
        <f>'8.Routing factors'!L72*'7.Network costs'!$H$97</f>
        <v>0</v>
      </c>
      <c r="M53" s="379">
        <f>'8.Routing factors'!M72*'7.Network costs'!$H$98</f>
        <v>22452.97285419231</v>
      </c>
      <c r="N53" s="379">
        <f>'8.Routing factors'!N72*'7.Network costs'!$H$99</f>
        <v>15001.902340511457</v>
      </c>
      <c r="O53" s="379">
        <f>'8.Routing factors'!O72*'7.Network costs'!$H$100</f>
        <v>73303.95687053102</v>
      </c>
      <c r="P53" s="379">
        <f>'8.Routing factors'!P72*'7.Network costs'!$H$101</f>
        <v>66806.06570074045</v>
      </c>
      <c r="Q53" s="379">
        <f>'8.Routing factors'!Q72*'7.Network costs'!$H$102</f>
        <v>0</v>
      </c>
      <c r="R53" s="379">
        <f>'8.Routing factors'!R72*'7.Network costs'!$H$103</f>
        <v>1502180.6921185222</v>
      </c>
      <c r="S53" s="379">
        <f>'8.Routing factors'!S72*'7.Network costs'!$H$104</f>
        <v>0</v>
      </c>
      <c r="T53" s="379">
        <f>'8.Routing factors'!T72*'7.Network costs'!$H$105</f>
        <v>0</v>
      </c>
      <c r="U53" s="379">
        <f>'8.Routing factors'!U72*'7.Network costs'!$H$106</f>
        <v>0</v>
      </c>
      <c r="V53" s="379">
        <f>'8.Routing factors'!V72*'7.Network costs'!$H$107</f>
        <v>0</v>
      </c>
      <c r="W53" s="379">
        <f>'8.Routing factors'!W72*'7.Network costs'!$H$108</f>
        <v>0</v>
      </c>
      <c r="X53" s="104"/>
      <c r="Y53" s="336">
        <f t="shared" si="8"/>
        <v>2003428.0092787282</v>
      </c>
      <c r="Z53" s="377">
        <f>'2.Traffic'!H55</f>
        <v>71.21206272</v>
      </c>
      <c r="AA53" s="381">
        <f t="shared" si="9"/>
        <v>0.02813326749368352</v>
      </c>
    </row>
    <row r="54" spans="3:27" ht="12.75">
      <c r="C54" s="291" t="str">
        <f>'C. Masterfiles'!C88</f>
        <v>S05</v>
      </c>
      <c r="D54" s="291" t="str">
        <f>'C. Masterfiles'!D88</f>
        <v>Originating calls (international)</v>
      </c>
      <c r="E54" s="379">
        <f>'8.Routing factors'!E73*'7.Network costs'!$H$90</f>
        <v>81714.7446556091</v>
      </c>
      <c r="F54" s="379">
        <f>'8.Routing factors'!F73*'7.Network costs'!$H$91</f>
        <v>93434.01337566633</v>
      </c>
      <c r="G54" s="379">
        <f>'8.Routing factors'!G73*'7.Network costs'!$H$92</f>
        <v>14261.020257714908</v>
      </c>
      <c r="H54" s="379">
        <f>'8.Routing factors'!H73*'7.Network costs'!$H$93</f>
        <v>28476.543037827083</v>
      </c>
      <c r="I54" s="379">
        <f>'8.Routing factors'!I73*'7.Network costs'!$H$94</f>
        <v>0</v>
      </c>
      <c r="J54" s="379">
        <f>'8.Routing factors'!J73*'7.Network costs'!$H$95</f>
        <v>0</v>
      </c>
      <c r="K54" s="379">
        <f>'8.Routing factors'!K73*'7.Network costs'!$H$96</f>
        <v>22963.300350616737</v>
      </c>
      <c r="L54" s="379">
        <f>'8.Routing factors'!L73*'7.Network costs'!$H$97</f>
        <v>0</v>
      </c>
      <c r="M54" s="379">
        <f>'8.Routing factors'!M73*'7.Network costs'!$H$98</f>
        <v>18885.39829230793</v>
      </c>
      <c r="N54" s="379">
        <f>'8.Routing factors'!N73*'7.Network costs'!$H$99</f>
        <v>12618.235575426968</v>
      </c>
      <c r="O54" s="379">
        <f>'8.Routing factors'!O73*'7.Network costs'!$H$100</f>
        <v>61656.62030111337</v>
      </c>
      <c r="P54" s="379">
        <f>'8.Routing factors'!P73*'7.Network costs'!$H$101</f>
        <v>56191.18534074228</v>
      </c>
      <c r="Q54" s="379">
        <f>'8.Routing factors'!Q73*'7.Network costs'!$H$102</f>
        <v>0</v>
      </c>
      <c r="R54" s="379">
        <f>'8.Routing factors'!R73*'7.Network costs'!$H$103</f>
        <v>1263497.7498035906</v>
      </c>
      <c r="S54" s="379">
        <f>'8.Routing factors'!S73*'7.Network costs'!$H$104</f>
        <v>0</v>
      </c>
      <c r="T54" s="379">
        <f>'8.Routing factors'!T73*'7.Network costs'!$H$105</f>
        <v>0</v>
      </c>
      <c r="U54" s="379">
        <f>'8.Routing factors'!U73*'7.Network costs'!$H$106</f>
        <v>0</v>
      </c>
      <c r="V54" s="379">
        <f>'8.Routing factors'!V73*'7.Network costs'!$H$107</f>
        <v>0</v>
      </c>
      <c r="W54" s="379">
        <f>'8.Routing factors'!W73*'7.Network costs'!$H$108</f>
        <v>0</v>
      </c>
      <c r="X54" s="104"/>
      <c r="Y54" s="336">
        <f t="shared" si="8"/>
        <v>1653698.8109906153</v>
      </c>
      <c r="Z54" s="377">
        <f>'2.Traffic'!H56</f>
        <v>69.540408</v>
      </c>
      <c r="AA54" s="381">
        <f t="shared" si="9"/>
        <v>0.023780401331418927</v>
      </c>
    </row>
    <row r="55" spans="3:27" ht="12.75">
      <c r="C55" s="291" t="str">
        <f>'C. Masterfiles'!C89</f>
        <v>S06</v>
      </c>
      <c r="D55" s="291" t="str">
        <f>'C. Masterfiles'!D89</f>
        <v>Terminating calls (local)</v>
      </c>
      <c r="E55" s="379">
        <f>'8.Routing factors'!E74*'7.Network costs'!$H$90</f>
        <v>83727.78067000517</v>
      </c>
      <c r="F55" s="379">
        <f>'8.Routing factors'!F74*'7.Network costs'!$H$91</f>
        <v>95735.75261119206</v>
      </c>
      <c r="G55" s="379">
        <f>'8.Routing factors'!G74*'7.Network costs'!$H$92</f>
        <v>14612.339318941904</v>
      </c>
      <c r="H55" s="379">
        <f>'8.Routing factors'!H74*'7.Network costs'!$H$93</f>
        <v>0</v>
      </c>
      <c r="I55" s="379">
        <f>'8.Routing factors'!I74*'7.Network costs'!$H$94</f>
        <v>32176.18530226265</v>
      </c>
      <c r="J55" s="379">
        <f>'8.Routing factors'!J74*'7.Network costs'!$H$95</f>
        <v>0</v>
      </c>
      <c r="K55" s="379">
        <f>'8.Routing factors'!K74*'7.Network costs'!$H$96</f>
        <v>0</v>
      </c>
      <c r="L55" s="379">
        <f>'8.Routing factors'!L74*'7.Network costs'!$H$97</f>
        <v>54483.22668097092</v>
      </c>
      <c r="M55" s="379">
        <f>'8.Routing factors'!M74*'7.Network costs'!$H$98</f>
        <v>19350.638526109735</v>
      </c>
      <c r="N55" s="379">
        <f>'8.Routing factors'!N74*'7.Network costs'!$H$99</f>
        <v>12929.084771107895</v>
      </c>
      <c r="O55" s="379">
        <f>'8.Routing factors'!O74*'7.Network costs'!$H$100</f>
        <v>63175.52607161028</v>
      </c>
      <c r="P55" s="379">
        <f>'8.Routing factors'!P74*'7.Network costs'!$H$101</f>
        <v>57575.4505704661</v>
      </c>
      <c r="Q55" s="379">
        <f>'8.Routing factors'!Q74*'7.Network costs'!$H$102</f>
        <v>0</v>
      </c>
      <c r="R55" s="379">
        <f>'8.Routing factors'!R74*'7.Network costs'!$H$103</f>
        <v>0</v>
      </c>
      <c r="S55" s="379">
        <f>'8.Routing factors'!S74*'7.Network costs'!$H$104</f>
        <v>0</v>
      </c>
      <c r="T55" s="379">
        <f>'8.Routing factors'!T74*'7.Network costs'!$H$105</f>
        <v>0</v>
      </c>
      <c r="U55" s="379">
        <f>'8.Routing factors'!U74*'7.Network costs'!$H$106</f>
        <v>0</v>
      </c>
      <c r="V55" s="379">
        <f>'8.Routing factors'!V74*'7.Network costs'!$H$107</f>
        <v>16801.323001276884</v>
      </c>
      <c r="W55" s="379">
        <f>'8.Routing factors'!W74*'7.Network costs'!$H$108</f>
        <v>0</v>
      </c>
      <c r="X55" s="104"/>
      <c r="Y55" s="336">
        <f t="shared" si="8"/>
        <v>433765.9845226667</v>
      </c>
      <c r="Z55" s="377">
        <f>'2.Traffic'!H57</f>
        <v>72.14419936</v>
      </c>
      <c r="AA55" s="381">
        <f t="shared" si="9"/>
        <v>0.006012485943023246</v>
      </c>
    </row>
    <row r="56" spans="3:27" ht="12.75">
      <c r="C56" s="291" t="str">
        <f>'C. Masterfiles'!C90</f>
        <v>S07</v>
      </c>
      <c r="D56" s="291" t="str">
        <f>'C. Masterfiles'!D90</f>
        <v>Terminating calls (national) </v>
      </c>
      <c r="E56" s="379">
        <f>'8.Routing factors'!E75*'7.Network costs'!$H$90</f>
        <v>107508.09231307764</v>
      </c>
      <c r="F56" s="379">
        <f>'8.Routing factors'!F75*'7.Network costs'!$H$91</f>
        <v>122926.56089800263</v>
      </c>
      <c r="G56" s="379">
        <f>'8.Routing factors'!G75*'7.Network costs'!$H$92</f>
        <v>18762.52674846783</v>
      </c>
      <c r="H56" s="379">
        <f>'8.Routing factors'!H75*'7.Network costs'!$H$93</f>
        <v>37465.194691248376</v>
      </c>
      <c r="I56" s="379">
        <f>'8.Routing factors'!I75*'7.Network costs'!$H$94</f>
        <v>41314.84522911254</v>
      </c>
      <c r="J56" s="379">
        <f>'8.Routing factors'!J75*'7.Network costs'!$H$95</f>
        <v>0</v>
      </c>
      <c r="K56" s="379">
        <f>'8.Routing factors'!K75*'7.Network costs'!$H$96</f>
        <v>0</v>
      </c>
      <c r="L56" s="379">
        <f>'8.Routing factors'!L75*'7.Network costs'!$H$97</f>
        <v>69957.51848024939</v>
      </c>
      <c r="M56" s="379">
        <f>'8.Routing factors'!M75*'7.Network costs'!$H$98</f>
        <v>24846.594718439384</v>
      </c>
      <c r="N56" s="379">
        <f>'8.Routing factors'!N75*'7.Network costs'!$H$99</f>
        <v>16601.19530188173</v>
      </c>
      <c r="O56" s="379">
        <f>'8.Routing factors'!O75*'7.Network costs'!$H$100</f>
        <v>81118.59928071708</v>
      </c>
      <c r="P56" s="379">
        <f>'8.Routing factors'!P75*'7.Network costs'!$H$101</f>
        <v>73927.99385537952</v>
      </c>
      <c r="Q56" s="379">
        <f>'8.Routing factors'!Q75*'7.Network costs'!$H$102</f>
        <v>0</v>
      </c>
      <c r="R56" s="379">
        <f>'8.Routing factors'!R75*'7.Network costs'!$H$103</f>
        <v>1662322.1830495696</v>
      </c>
      <c r="S56" s="379">
        <f>'8.Routing factors'!S75*'7.Network costs'!$H$104</f>
        <v>0</v>
      </c>
      <c r="T56" s="379">
        <f>'8.Routing factors'!T75*'7.Network costs'!$H$105</f>
        <v>0</v>
      </c>
      <c r="U56" s="379">
        <f>'8.Routing factors'!U75*'7.Network costs'!$H$106</f>
        <v>0</v>
      </c>
      <c r="V56" s="379">
        <f>'8.Routing factors'!V75*'7.Network costs'!$H$107</f>
        <v>0</v>
      </c>
      <c r="W56" s="379">
        <f>'8.Routing factors'!W75*'7.Network costs'!$H$108</f>
        <v>0</v>
      </c>
      <c r="X56" s="104"/>
      <c r="Y56" s="336">
        <f t="shared" si="8"/>
        <v>2256751.304566146</v>
      </c>
      <c r="Z56" s="377">
        <f>'2.Traffic'!H58</f>
        <v>78.80369664000001</v>
      </c>
      <c r="AA56" s="381">
        <f t="shared" si="9"/>
        <v>0.028637632506958312</v>
      </c>
    </row>
    <row r="57" spans="3:27" ht="12.75">
      <c r="C57" s="291" t="str">
        <f>'C. Masterfiles'!C91</f>
        <v>S08</v>
      </c>
      <c r="D57" s="291" t="str">
        <f>'C. Masterfiles'!D91</f>
        <v>Terminating calls (international)</v>
      </c>
      <c r="E57" s="379">
        <f>'8.Routing factors'!E76*'7.Network costs'!$H$90</f>
        <v>403482.99740861147</v>
      </c>
      <c r="F57" s="379">
        <f>'8.Routing factors'!F76*'7.Network costs'!$H$91</f>
        <v>461349.2452997881</v>
      </c>
      <c r="G57" s="379">
        <f>'8.Routing factors'!G76*'7.Network costs'!$H$92</f>
        <v>70416.6576538738</v>
      </c>
      <c r="H57" s="379">
        <f>'8.Routing factors'!H76*'7.Network costs'!$H$93</f>
        <v>140608.66235539428</v>
      </c>
      <c r="I57" s="379">
        <f>'8.Routing factors'!I76*'7.Network costs'!$H$94</f>
        <v>0</v>
      </c>
      <c r="J57" s="379">
        <f>'8.Routing factors'!J76*'7.Network costs'!$H$95</f>
        <v>0</v>
      </c>
      <c r="K57" s="379">
        <f>'8.Routing factors'!K76*'7.Network costs'!$H$96</f>
        <v>0</v>
      </c>
      <c r="L57" s="379">
        <f>'8.Routing factors'!L76*'7.Network costs'!$H$97</f>
        <v>262553.9030632187</v>
      </c>
      <c r="M57" s="379">
        <f>'8.Routing factors'!M76*'7.Network costs'!$H$98</f>
        <v>93250.4548885331</v>
      </c>
      <c r="N57" s="379">
        <f>'8.Routing factors'!N76*'7.Network costs'!$H$99</f>
        <v>62305.07766301603</v>
      </c>
      <c r="O57" s="379">
        <f>'8.Routing factors'!O76*'7.Network costs'!$H$100</f>
        <v>304441.97156859405</v>
      </c>
      <c r="P57" s="379">
        <f>'8.Routing factors'!P76*'7.Network costs'!$H$101</f>
        <v>277455.286494238</v>
      </c>
      <c r="Q57" s="379">
        <f>'8.Routing factors'!Q76*'7.Network costs'!$H$102</f>
        <v>0</v>
      </c>
      <c r="R57" s="379">
        <f>'8.Routing factors'!R76*'7.Network costs'!$H$103</f>
        <v>6238774.427532825</v>
      </c>
      <c r="S57" s="379">
        <f>'8.Routing factors'!S76*'7.Network costs'!$H$104</f>
        <v>0</v>
      </c>
      <c r="T57" s="379">
        <f>'8.Routing factors'!T76*'7.Network costs'!$H$105</f>
        <v>0</v>
      </c>
      <c r="U57" s="379">
        <f>'8.Routing factors'!U76*'7.Network costs'!$H$106</f>
        <v>0</v>
      </c>
      <c r="V57" s="379">
        <f>'8.Routing factors'!V76*'7.Network costs'!$H$107</f>
        <v>0</v>
      </c>
      <c r="W57" s="379">
        <f>'8.Routing factors'!W76*'7.Network costs'!$H$108</f>
        <v>0</v>
      </c>
      <c r="X57" s="104"/>
      <c r="Y57" s="336">
        <f t="shared" si="8"/>
        <v>8314638.683928092</v>
      </c>
      <c r="Z57" s="377">
        <f>'2.Traffic'!H59</f>
        <v>343.36976000000004</v>
      </c>
      <c r="AA57" s="381">
        <f t="shared" si="9"/>
        <v>0.024214825102618503</v>
      </c>
    </row>
    <row r="58" spans="3:27" ht="12.75">
      <c r="C58" s="291" t="str">
        <f>'C. Masterfiles'!C92</f>
        <v>S09</v>
      </c>
      <c r="D58" s="291" t="str">
        <f>'C. Masterfiles'!D92</f>
        <v>Transit calls</v>
      </c>
      <c r="E58" s="379">
        <f>'8.Routing factors'!E77*'7.Network costs'!$H$90</f>
        <v>0</v>
      </c>
      <c r="F58" s="379">
        <f>'8.Routing factors'!F77*'7.Network costs'!$H$91</f>
        <v>0</v>
      </c>
      <c r="G58" s="379">
        <f>'8.Routing factors'!G77*'7.Network costs'!$H$92</f>
        <v>28814.135777550986</v>
      </c>
      <c r="H58" s="379">
        <f>'8.Routing factors'!H77*'7.Network costs'!$H$93</f>
        <v>115072.6894344514</v>
      </c>
      <c r="I58" s="379">
        <f>'8.Routing factors'!I77*'7.Network costs'!$H$94</f>
        <v>126896.72089686607</v>
      </c>
      <c r="J58" s="379">
        <f>'8.Routing factors'!J77*'7.Network costs'!$H$95</f>
        <v>0</v>
      </c>
      <c r="K58" s="379">
        <f>'8.Routing factors'!K77*'7.Network costs'!$H$96</f>
        <v>0</v>
      </c>
      <c r="L58" s="379">
        <f>'8.Routing factors'!L77*'7.Network costs'!$H$97</f>
        <v>107435.71285328336</v>
      </c>
      <c r="M58" s="379">
        <f>'8.Routing factors'!M77*'7.Network costs'!$H$98</f>
        <v>38157.60869656628</v>
      </c>
      <c r="N58" s="379">
        <f>'8.Routing factors'!N77*'7.Network costs'!$H$99</f>
        <v>25494.91877671136</v>
      </c>
      <c r="O58" s="379">
        <f>'8.Routing factors'!O77*'7.Network costs'!$H$100</f>
        <v>0</v>
      </c>
      <c r="P58" s="379">
        <f>'8.Routing factors'!P77*'7.Network costs'!$H$101</f>
        <v>0</v>
      </c>
      <c r="Q58" s="379">
        <f>'8.Routing factors'!Q77*'7.Network costs'!$H$102</f>
        <v>0</v>
      </c>
      <c r="R58" s="379">
        <f>'8.Routing factors'!R77*'7.Network costs'!$H$103</f>
        <v>2552874.553121514</v>
      </c>
      <c r="S58" s="379">
        <f>'8.Routing factors'!S77*'7.Network costs'!$H$104</f>
        <v>539508.0637043465</v>
      </c>
      <c r="T58" s="379">
        <f>'8.Routing factors'!T77*'7.Network costs'!$H$105</f>
        <v>0</v>
      </c>
      <c r="U58" s="379">
        <f>'8.Routing factors'!U77*'7.Network costs'!$H$106</f>
        <v>0</v>
      </c>
      <c r="V58" s="379">
        <f>'8.Routing factors'!V77*'7.Network costs'!$H$107</f>
        <v>33130.60226939337</v>
      </c>
      <c r="W58" s="379">
        <f>'8.Routing factors'!W77*'7.Network costs'!$H$108</f>
        <v>0</v>
      </c>
      <c r="X58" s="104"/>
      <c r="Y58" s="336">
        <f t="shared" si="8"/>
        <v>3534254.40326129</v>
      </c>
      <c r="Z58" s="377">
        <f>'2.Traffic'!H60</f>
        <v>131.723576</v>
      </c>
      <c r="AA58" s="381">
        <f t="shared" si="9"/>
        <v>0.02683084160470476</v>
      </c>
    </row>
    <row r="59" spans="3:27" ht="12.75">
      <c r="C59" s="291" t="str">
        <f>'C. Masterfiles'!C93</f>
        <v>S10</v>
      </c>
      <c r="D59" s="291" t="str">
        <f>'C. Masterfiles'!D93</f>
        <v>Calls to directory enquiries, emergency &amp; helpdesk</v>
      </c>
      <c r="E59" s="379">
        <f>'8.Routing factors'!E78*'7.Network costs'!$H$90</f>
        <v>3484.85305034756</v>
      </c>
      <c r="F59" s="379">
        <f>'8.Routing factors'!F78*'7.Network costs'!$H$91</f>
        <v>3984.639588493841</v>
      </c>
      <c r="G59" s="379">
        <f>'8.Routing factors'!G78*'7.Network costs'!$H$92</f>
        <v>608.1835066072715</v>
      </c>
      <c r="H59" s="379">
        <f>'8.Routing factors'!H78*'7.Network costs'!$H$93</f>
        <v>1214.4267021449164</v>
      </c>
      <c r="I59" s="379">
        <f>'8.Routing factors'!I78*'7.Network costs'!$H$94</f>
        <v>0</v>
      </c>
      <c r="J59" s="379">
        <f>'8.Routing factors'!J78*'7.Network costs'!$H$95</f>
        <v>1403681.1259249907</v>
      </c>
      <c r="K59" s="379">
        <f>'8.Routing factors'!K78*'7.Network costs'!$H$96</f>
        <v>979.3058475573529</v>
      </c>
      <c r="L59" s="379">
        <f>'8.Routing factors'!L78*'7.Network costs'!$H$97</f>
        <v>0</v>
      </c>
      <c r="M59" s="379">
        <f>'8.Routing factors'!M78*'7.Network costs'!$H$98</f>
        <v>805.3973383059498</v>
      </c>
      <c r="N59" s="379">
        <f>'8.Routing factors'!N78*'7.Network costs'!$H$99</f>
        <v>538.1243852667706</v>
      </c>
      <c r="O59" s="379">
        <f>'8.Routing factors'!O78*'7.Network costs'!$H$100</f>
        <v>2629.4429755120996</v>
      </c>
      <c r="P59" s="379">
        <f>'8.Routing factors'!P78*'7.Network costs'!$H$101</f>
        <v>2396.360956185028</v>
      </c>
      <c r="Q59" s="379">
        <f>'8.Routing factors'!Q78*'7.Network costs'!$H$102</f>
        <v>0</v>
      </c>
      <c r="R59" s="379">
        <f>'8.Routing factors'!R78*'7.Network costs'!$H$103</f>
        <v>53883.837073314295</v>
      </c>
      <c r="S59" s="379">
        <f>'8.Routing factors'!S78*'7.Network costs'!$H$104</f>
        <v>0</v>
      </c>
      <c r="T59" s="379">
        <f>'8.Routing factors'!T78*'7.Network costs'!$H$105</f>
        <v>1847.2985206097835</v>
      </c>
      <c r="U59" s="379">
        <f>'8.Routing factors'!U78*'7.Network costs'!$H$106</f>
        <v>4310.36321475616</v>
      </c>
      <c r="V59" s="379">
        <f>'8.Routing factors'!V78*'7.Network costs'!$H$107</f>
        <v>0</v>
      </c>
      <c r="W59" s="379">
        <f>'8.Routing factors'!W78*'7.Network costs'!$H$108</f>
        <v>0</v>
      </c>
      <c r="X59" s="104"/>
      <c r="Y59" s="336">
        <f t="shared" si="8"/>
        <v>1476052.9958693355</v>
      </c>
      <c r="Z59" s="377">
        <f>'2.Traffic'!H61</f>
        <v>2.594952</v>
      </c>
      <c r="AA59" s="381">
        <f t="shared" si="9"/>
        <v>0.5688170709397844</v>
      </c>
    </row>
    <row r="60" spans="3:27" ht="12.75">
      <c r="C60" s="291" t="str">
        <f>'C. Masterfiles'!C94</f>
        <v>S11</v>
      </c>
      <c r="D60" s="291" t="str">
        <f>'C. Masterfiles'!D94</f>
        <v>Calls to non-geographic numbers</v>
      </c>
      <c r="E60" s="379">
        <f>'8.Routing factors'!E79*'7.Network costs'!$H$90</f>
        <v>1425.1428744055665</v>
      </c>
      <c r="F60" s="379">
        <f>'8.Routing factors'!F79*'7.Network costs'!$H$91</f>
        <v>1629.5323316574186</v>
      </c>
      <c r="G60" s="379">
        <f>'8.Routing factors'!G79*'7.Network costs'!$H$92</f>
        <v>248.71877759261594</v>
      </c>
      <c r="H60" s="379">
        <f>'8.Routing factors'!H79*'7.Network costs'!$H$93</f>
        <v>496.6440581697026</v>
      </c>
      <c r="I60" s="379">
        <f>'8.Routing factors'!I79*'7.Network costs'!$H$94</f>
        <v>0</v>
      </c>
      <c r="J60" s="379">
        <f>'8.Routing factors'!J79*'7.Network costs'!$H$95</f>
        <v>574040.3183858987</v>
      </c>
      <c r="K60" s="379">
        <f>'8.Routing factors'!K79*'7.Network costs'!$H$96</f>
        <v>400.4905602463987</v>
      </c>
      <c r="L60" s="379">
        <f>'8.Routing factors'!L79*'7.Network costs'!$H$97</f>
        <v>0</v>
      </c>
      <c r="M60" s="379">
        <f>'8.Routing factors'!M79*'7.Network costs'!$H$98</f>
        <v>329.3700655863977</v>
      </c>
      <c r="N60" s="379">
        <f>'8.Routing factors'!N79*'7.Network costs'!$H$99</f>
        <v>220.06785426155264</v>
      </c>
      <c r="O60" s="379">
        <f>'8.Routing factors'!O79*'7.Network costs'!$H$100</f>
        <v>1075.319924848223</v>
      </c>
      <c r="P60" s="379">
        <f>'8.Routing factors'!P79*'7.Network costs'!$H$101</f>
        <v>980.0002157537731</v>
      </c>
      <c r="Q60" s="379">
        <f>'8.Routing factors'!Q79*'7.Network costs'!$H$102</f>
        <v>0</v>
      </c>
      <c r="R60" s="379">
        <f>'8.Routing factors'!R79*'7.Network costs'!$H$103</f>
        <v>22035.984112158058</v>
      </c>
      <c r="S60" s="379">
        <f>'8.Routing factors'!S79*'7.Network costs'!$H$104</f>
        <v>0</v>
      </c>
      <c r="T60" s="379">
        <f>'8.Routing factors'!T79*'7.Network costs'!$H$105</f>
        <v>755.4592074648343</v>
      </c>
      <c r="U60" s="379">
        <f>'8.Routing factors'!U79*'7.Network costs'!$H$106</f>
        <v>1762.7381507512794</v>
      </c>
      <c r="V60" s="379">
        <f>'8.Routing factors'!V79*'7.Network costs'!$H$107</f>
        <v>0</v>
      </c>
      <c r="W60" s="379">
        <f>'8.Routing factors'!W79*'7.Network costs'!$H$108</f>
        <v>0</v>
      </c>
      <c r="X60" s="104"/>
      <c r="Y60" s="336">
        <f t="shared" si="8"/>
        <v>603637.0483680434</v>
      </c>
      <c r="Z60" s="377">
        <f>'2.Traffic'!H62</f>
        <v>1.19700556</v>
      </c>
      <c r="AA60" s="381">
        <f t="shared" si="9"/>
        <v>0.5042892602504231</v>
      </c>
    </row>
    <row r="61" spans="3:27" ht="12.75">
      <c r="C61" s="291" t="str">
        <f>'C. Masterfiles'!C95</f>
        <v>S12</v>
      </c>
      <c r="D61" s="291" t="str">
        <f>'C. Masterfiles'!D95</f>
        <v>Internet dial-up calls</v>
      </c>
      <c r="E61" s="379">
        <f>'8.Routing factors'!E80*'7.Network costs'!$H$90</f>
        <v>84385.40012771709</v>
      </c>
      <c r="F61" s="379">
        <f>'8.Routing factors'!F80*'7.Network costs'!$H$91</f>
        <v>96487.6857594496</v>
      </c>
      <c r="G61" s="379">
        <f>'8.Routing factors'!G80*'7.Network costs'!$H$92</f>
        <v>14727.1083786486</v>
      </c>
      <c r="H61" s="379">
        <f>'8.Routing factors'!H80*'7.Network costs'!$H$93</f>
        <v>29407.232300960837</v>
      </c>
      <c r="I61" s="379">
        <f>'8.Routing factors'!I80*'7.Network costs'!$H$94</f>
        <v>0</v>
      </c>
      <c r="J61" s="379">
        <f>'8.Routing factors'!J80*'7.Network costs'!$H$95</f>
        <v>0</v>
      </c>
      <c r="K61" s="379">
        <f>'8.Routing factors'!K80*'7.Network costs'!$H$96</f>
        <v>23713.802160265655</v>
      </c>
      <c r="L61" s="379">
        <f>'8.Routing factors'!L80*'7.Network costs'!$H$97</f>
        <v>0</v>
      </c>
      <c r="M61" s="379">
        <f>'8.Routing factors'!M80*'7.Network costs'!$H$98</f>
        <v>19502.62340271925</v>
      </c>
      <c r="N61" s="379">
        <f>'8.Routing factors'!N80*'7.Network costs'!$H$99</f>
        <v>13030.633117998848</v>
      </c>
      <c r="O61" s="379">
        <f>'8.Routing factors'!O80*'7.Network costs'!$H$100</f>
        <v>63671.722851979015</v>
      </c>
      <c r="P61" s="379">
        <f>'8.Routing factors'!P80*'7.Network costs'!$H$101</f>
        <v>58027.66292195426</v>
      </c>
      <c r="Q61" s="379">
        <f>'8.Routing factors'!Q80*'7.Network costs'!$H$102</f>
        <v>0</v>
      </c>
      <c r="R61" s="379">
        <f>'8.Routing factors'!R80*'7.Network costs'!$H$103</f>
        <v>1304792.2211224516</v>
      </c>
      <c r="S61" s="379">
        <f>'8.Routing factors'!S80*'7.Network costs'!$H$104</f>
        <v>0</v>
      </c>
      <c r="T61" s="379">
        <f>'8.Routing factors'!T80*'7.Network costs'!$H$105</f>
        <v>0</v>
      </c>
      <c r="U61" s="379">
        <f>'8.Routing factors'!U80*'7.Network costs'!$H$106</f>
        <v>0</v>
      </c>
      <c r="V61" s="379">
        <f>'8.Routing factors'!V80*'7.Network costs'!$H$107</f>
        <v>0</v>
      </c>
      <c r="W61" s="379">
        <f>'8.Routing factors'!W80*'7.Network costs'!$H$108</f>
        <v>0</v>
      </c>
      <c r="X61" s="104"/>
      <c r="Y61" s="336">
        <f t="shared" si="8"/>
        <v>1707746.0921441447</v>
      </c>
      <c r="Z61" s="377">
        <f>'2.Traffic'!H63</f>
        <v>79.03352000000001</v>
      </c>
      <c r="AA61" s="381">
        <f t="shared" si="9"/>
        <v>0.02160787083941275</v>
      </c>
    </row>
    <row r="62" spans="3:27" ht="12.75">
      <c r="C62" s="90"/>
      <c r="D62" s="90" t="s">
        <v>635</v>
      </c>
      <c r="E62" s="380">
        <f aca="true" t="shared" si="10" ref="E62:U62">SUM(E50:E61)</f>
        <v>7295153.26274062</v>
      </c>
      <c r="F62" s="380">
        <f t="shared" si="10"/>
        <v>8341400.935671347</v>
      </c>
      <c r="G62" s="380">
        <f t="shared" si="10"/>
        <v>1057128.0393722104</v>
      </c>
      <c r="H62" s="380">
        <f t="shared" si="10"/>
        <v>660705.0246076315</v>
      </c>
      <c r="I62" s="380">
        <f t="shared" si="10"/>
        <v>264282.00984305254</v>
      </c>
      <c r="J62" s="380">
        <f t="shared" si="10"/>
        <v>1977721.4443108896</v>
      </c>
      <c r="K62" s="380">
        <f t="shared" si="10"/>
        <v>988860.722155445</v>
      </c>
      <c r="L62" s="380">
        <f t="shared" si="10"/>
        <v>494430.3610777224</v>
      </c>
      <c r="M62" s="380">
        <f t="shared" si="10"/>
        <v>988860.7221554455</v>
      </c>
      <c r="N62" s="380">
        <f t="shared" si="10"/>
        <v>660705.024607632</v>
      </c>
      <c r="O62" s="380">
        <f t="shared" si="10"/>
        <v>5221027.892208558</v>
      </c>
      <c r="P62" s="380">
        <f t="shared" si="10"/>
        <v>4758219.709862665</v>
      </c>
      <c r="Q62" s="380">
        <f t="shared" si="10"/>
        <v>15216762.781415448</v>
      </c>
      <c r="R62" s="380">
        <f t="shared" si="10"/>
        <v>34893611.20565956</v>
      </c>
      <c r="S62" s="380">
        <f t="shared" si="10"/>
        <v>784991.7307873047</v>
      </c>
      <c r="T62" s="380">
        <f t="shared" si="10"/>
        <v>2602.7577280746177</v>
      </c>
      <c r="U62" s="380">
        <f t="shared" si="10"/>
        <v>6073.101365507439</v>
      </c>
      <c r="V62" s="380">
        <f>SUM(V50:V61)</f>
        <v>63800.414678085384</v>
      </c>
      <c r="W62" s="380">
        <f>SUM(W50:W61)</f>
        <v>27766.219443100024</v>
      </c>
      <c r="X62" s="55"/>
      <c r="Y62" s="380">
        <f>SUM(Y50:Y61)</f>
        <v>83606463.6242036</v>
      </c>
      <c r="Z62" s="157"/>
      <c r="AA62" s="157"/>
    </row>
    <row r="63" spans="3:27" ht="12.75">
      <c r="C63" s="83"/>
      <c r="D63" s="102"/>
      <c r="E63" s="223" t="str">
        <f>IF(ROUND(E62,0)=ROUND('7.Network costs'!$H$90,0),"Ok","Not ok")</f>
        <v>Ok</v>
      </c>
      <c r="F63" s="223" t="str">
        <f>IF(ROUND(F62,0)=ROUND('7.Network costs'!$H$91,0),"Ok","Not ok")</f>
        <v>Ok</v>
      </c>
      <c r="G63" s="223" t="str">
        <f>IF(ROUND(G62,0)=ROUND('7.Network costs'!$H$92,0),"Ok","Not ok")</f>
        <v>Ok</v>
      </c>
      <c r="H63" s="223" t="str">
        <f>IF(ROUND(H62,0)=ROUND('7.Network costs'!$H$93,0),"Ok","Not ok")</f>
        <v>Ok</v>
      </c>
      <c r="I63" s="223" t="str">
        <f>IF(ROUND(I62,0)=ROUND('7.Network costs'!$H$94,0),"Ok","Not ok")</f>
        <v>Ok</v>
      </c>
      <c r="J63" s="223" t="str">
        <f>IF(ROUND(J62,0)=ROUND('7.Network costs'!$H$95,0),"Ok","Not ok")</f>
        <v>Ok</v>
      </c>
      <c r="K63" s="223" t="str">
        <f>IF(ROUND(K62,0)=ROUND('7.Network costs'!$H$96,0),"Ok","Not ok")</f>
        <v>Ok</v>
      </c>
      <c r="L63" s="223" t="str">
        <f>IF(ROUND(L62,0)=ROUND('7.Network costs'!$H$97,0),"Ok","Not ok")</f>
        <v>Ok</v>
      </c>
      <c r="M63" s="223" t="str">
        <f>IF(ROUND(M62,0)=ROUND('7.Network costs'!$H$98,0),"Ok","Not ok")</f>
        <v>Ok</v>
      </c>
      <c r="N63" s="223" t="str">
        <f>IF(ROUND(N62,0)=ROUND('7.Network costs'!$H$99,0),"Ok","Not ok")</f>
        <v>Ok</v>
      </c>
      <c r="O63" s="223" t="str">
        <f>IF(ROUND(O62,0)=ROUND('7.Network costs'!$H$100,0),"Ok","Not ok")</f>
        <v>Ok</v>
      </c>
      <c r="P63" s="223" t="str">
        <f>IF(ROUND(P62,0)=ROUND('7.Network costs'!$H$101,0),"Ok","Not ok")</f>
        <v>Ok</v>
      </c>
      <c r="Q63" s="223" t="str">
        <f>IF(ROUND(Q62,0)=ROUND('7.Network costs'!$H$102,0),"Ok","Not ok")</f>
        <v>Ok</v>
      </c>
      <c r="R63" s="223" t="str">
        <f>IF(ROUND(R62,0)=ROUND('7.Network costs'!$H$103,0),"Ok","Not ok")</f>
        <v>Ok</v>
      </c>
      <c r="S63" s="223" t="str">
        <f>IF(ROUND(S62,0)=ROUND('7.Network costs'!$H$104,0),"Ok","Not ok")</f>
        <v>Ok</v>
      </c>
      <c r="T63" s="223" t="str">
        <f>IF(ROUND(T62,0)=ROUND('7.Network costs'!$H$105,0),"Ok","Not ok")</f>
        <v>Ok</v>
      </c>
      <c r="U63" s="223" t="str">
        <f>IF(ROUND(U62,0)=ROUND('7.Network costs'!$H$106,0),"Ok","Not ok")</f>
        <v>Ok</v>
      </c>
      <c r="V63" s="223" t="str">
        <f>IF(ROUND(V62,0)=ROUND('7.Network costs'!$H$107,0),"Ok","Not ok")</f>
        <v>Ok</v>
      </c>
      <c r="W63" s="223" t="str">
        <f>IF(ROUND(W62,0)=ROUND('7.Network costs'!$H$108,0),"Ok","Not ok")</f>
        <v>Ok</v>
      </c>
      <c r="X63" s="83"/>
      <c r="Y63" s="223" t="str">
        <f>IF(ROUND(Y62,0)=ROUND('7.Network costs'!$F$109,0),"Ok","Not ok")</f>
        <v>Not ok</v>
      </c>
      <c r="Z63" s="228"/>
      <c r="AA63" s="83"/>
    </row>
    <row r="64" ht="12.75">
      <c r="Y64" s="219"/>
    </row>
    <row r="66" spans="3:27" ht="39.75">
      <c r="C66" s="103">
        <f>'8.Routing factors'!C86</f>
        <v>2011</v>
      </c>
      <c r="D66" s="103" t="str">
        <f>'8.Routing factors'!D86</f>
        <v>Service</v>
      </c>
      <c r="E66" s="225" t="str">
        <f aca="true" t="shared" si="11" ref="E66:U66">E48</f>
        <v>RAU</v>
      </c>
      <c r="F66" s="225" t="str">
        <f t="shared" si="11"/>
        <v>LS</v>
      </c>
      <c r="G66" s="225" t="str">
        <f t="shared" si="11"/>
        <v>TS</v>
      </c>
      <c r="H66" s="225" t="str">
        <f t="shared" si="11"/>
        <v>ISC</v>
      </c>
      <c r="I66" s="225" t="str">
        <f t="shared" si="11"/>
        <v>IGW</v>
      </c>
      <c r="J66" s="225" t="str">
        <f t="shared" si="11"/>
        <v>IN</v>
      </c>
      <c r="K66" s="225" t="str">
        <f t="shared" si="11"/>
        <v>RBIL</v>
      </c>
      <c r="L66" s="225" t="str">
        <f t="shared" si="11"/>
        <v>IBIL</v>
      </c>
      <c r="M66" s="225" t="str">
        <f t="shared" si="11"/>
        <v>NMS</v>
      </c>
      <c r="N66" s="225" t="str">
        <f t="shared" si="11"/>
        <v>OSS</v>
      </c>
      <c r="O66" s="225" t="str">
        <f t="shared" si="11"/>
        <v>Rau-TS</v>
      </c>
      <c r="P66" s="225" t="str">
        <f t="shared" si="11"/>
        <v>LS-TS</v>
      </c>
      <c r="Q66" s="225" t="str">
        <f t="shared" si="11"/>
        <v>TS-TS</v>
      </c>
      <c r="R66" s="225" t="str">
        <f t="shared" si="11"/>
        <v>TS-ISC</v>
      </c>
      <c r="S66" s="225" t="str">
        <f t="shared" si="11"/>
        <v>ISC-ISC</v>
      </c>
      <c r="T66" s="225" t="str">
        <f t="shared" si="11"/>
        <v>ISC-IN</v>
      </c>
      <c r="U66" s="225" t="str">
        <f t="shared" si="11"/>
        <v>TS-IN</v>
      </c>
      <c r="V66" s="225" t="str">
        <f>V48</f>
        <v>TS-IGW</v>
      </c>
      <c r="W66" s="225" t="str">
        <f>W48</f>
        <v>LS-LS</v>
      </c>
      <c r="X66" s="88"/>
      <c r="Y66" s="227" t="s">
        <v>760</v>
      </c>
      <c r="Z66" s="227" t="s">
        <v>576</v>
      </c>
      <c r="AA66" s="227" t="s">
        <v>675</v>
      </c>
    </row>
    <row r="67" spans="3:27" ht="12.75">
      <c r="C67" s="103"/>
      <c r="D67" s="103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88"/>
      <c r="Y67" s="227" t="str">
        <f>'C. Masterfiles'!D$110</f>
        <v>Euro</v>
      </c>
      <c r="Z67" s="227" t="str">
        <f>'2.Traffic'!E$16</f>
        <v>Millions</v>
      </c>
      <c r="AA67" s="227" t="str">
        <f>Y67</f>
        <v>Euro</v>
      </c>
    </row>
    <row r="68" spans="3:27" ht="12.75">
      <c r="C68" s="291" t="str">
        <f>'C. Masterfiles'!C84</f>
        <v>S01</v>
      </c>
      <c r="D68" s="291" t="str">
        <f>'C. Masterfiles'!D84</f>
        <v>On-net local calls</v>
      </c>
      <c r="E68" s="379">
        <f>'8.Routing factors'!E87*'7.Network costs'!$I$90</f>
        <v>6589692.829494099</v>
      </c>
      <c r="F68" s="379">
        <f>'8.Routing factors'!F87*'7.Network costs'!$I$91</f>
        <v>5512655.92406437</v>
      </c>
      <c r="G68" s="379">
        <f>'8.Routing factors'!G87*'7.Network costs'!$I$92</f>
        <v>720952.2594747233</v>
      </c>
      <c r="H68" s="379">
        <f>'8.Routing factors'!H87*'7.Network costs'!$I$93</f>
        <v>205396.28155702728</v>
      </c>
      <c r="I68" s="379">
        <f>'8.Routing factors'!I87*'7.Network costs'!$I$94</f>
        <v>0</v>
      </c>
      <c r="J68" s="379">
        <f>'8.Routing factors'!J87*'7.Network costs'!$I$95</f>
        <v>0</v>
      </c>
      <c r="K68" s="379">
        <f>'8.Routing factors'!K87*'7.Network costs'!$I$96</f>
        <v>822458.3234159244</v>
      </c>
      <c r="L68" s="379">
        <f>'8.Routing factors'!L87*'7.Network costs'!$I$97</f>
        <v>0</v>
      </c>
      <c r="M68" s="379">
        <f>'8.Routing factors'!M87*'7.Network costs'!$I$98</f>
        <v>673277.9398153119</v>
      </c>
      <c r="N68" s="379">
        <f>'8.Routing factors'!N87*'7.Network costs'!$I$99</f>
        <v>440162.7390396489</v>
      </c>
      <c r="O68" s="379">
        <f>'8.Routing factors'!O87*'7.Network costs'!$I$100</f>
        <v>3909332.933100763</v>
      </c>
      <c r="P68" s="379">
        <f>'8.Routing factors'!P87*'7.Network costs'!$I$101</f>
        <v>3565851.0962082013</v>
      </c>
      <c r="Q68" s="379">
        <f>'8.Routing factors'!Q87*'7.Network costs'!$I$102</f>
        <v>14082064.522284035</v>
      </c>
      <c r="R68" s="379">
        <f>'8.Routing factors'!R87*'7.Network costs'!$I$103</f>
        <v>8031375.457264163</v>
      </c>
      <c r="S68" s="379">
        <f>'8.Routing factors'!S87*'7.Network costs'!$I$104</f>
        <v>0</v>
      </c>
      <c r="T68" s="379">
        <f>'8.Routing factors'!T87*'7.Network costs'!$I$105</f>
        <v>0</v>
      </c>
      <c r="U68" s="379">
        <f>'8.Routing factors'!U87*'7.Network costs'!$I$106</f>
        <v>0</v>
      </c>
      <c r="V68" s="379">
        <f>'8.Routing factors'!V87*'7.Network costs'!$I$107</f>
        <v>0</v>
      </c>
      <c r="W68" s="379">
        <f>'8.Routing factors'!W87*'7.Network costs'!$I$108</f>
        <v>25749.86303116061</v>
      </c>
      <c r="X68" s="104"/>
      <c r="Y68" s="336">
        <f aca="true" t="shared" si="12" ref="Y68:Y79">SUM(E68:T68)</f>
        <v>44553220.305718265</v>
      </c>
      <c r="Z68" s="377">
        <f>'2.Traffic'!I52</f>
        <v>2375.0803319999995</v>
      </c>
      <c r="AA68" s="381">
        <f>IF(Y68=0,"",Y68/Z68/1000000)</f>
        <v>0.018758616163606155</v>
      </c>
    </row>
    <row r="69" spans="3:27" ht="12.75">
      <c r="C69" s="291" t="str">
        <f>'C. Masterfiles'!C85</f>
        <v>S02</v>
      </c>
      <c r="D69" s="291" t="str">
        <f>'C. Masterfiles'!D85</f>
        <v>On-net national calls</v>
      </c>
      <c r="E69" s="379">
        <f>'8.Routing factors'!E88*'7.Network costs'!$I$90</f>
        <v>818890.8739911685</v>
      </c>
      <c r="F69" s="379">
        <f>'8.Routing factors'!F88*'7.Network costs'!$I$91</f>
        <v>685049.1736829911</v>
      </c>
      <c r="G69" s="379">
        <f>'8.Routing factors'!G88*'7.Network costs'!$I$92</f>
        <v>119455.48725725924</v>
      </c>
      <c r="H69" s="379">
        <f>'8.Routing factors'!H88*'7.Network costs'!$I$93</f>
        <v>76572.82890302017</v>
      </c>
      <c r="I69" s="379">
        <f>'8.Routing factors'!I88*'7.Network costs'!$I$94</f>
        <v>0</v>
      </c>
      <c r="J69" s="379">
        <f>'8.Routing factors'!J88*'7.Network costs'!$I$95</f>
        <v>0</v>
      </c>
      <c r="K69" s="379">
        <f>'8.Routing factors'!K88*'7.Network costs'!$I$96</f>
        <v>102205.61605981312</v>
      </c>
      <c r="L69" s="379">
        <f>'8.Routing factors'!L88*'7.Network costs'!$I$97</f>
        <v>0</v>
      </c>
      <c r="M69" s="379">
        <f>'8.Routing factors'!M88*'7.Network costs'!$I$98</f>
        <v>83667.20192277328</v>
      </c>
      <c r="N69" s="379">
        <f>'8.Routing factors'!N88*'7.Network costs'!$I$99</f>
        <v>54698.33866265305</v>
      </c>
      <c r="O69" s="379">
        <f>'8.Routing factors'!O88*'7.Network costs'!$I$100</f>
        <v>242903.36022802987</v>
      </c>
      <c r="P69" s="379">
        <f>'8.Routing factors'!P88*'7.Network costs'!$I$101</f>
        <v>221561.38353117104</v>
      </c>
      <c r="Q69" s="379">
        <f>'8.Routing factors'!Q88*'7.Network costs'!$I$102</f>
        <v>0</v>
      </c>
      <c r="R69" s="379">
        <f>'8.Routing factors'!R88*'7.Network costs'!$I$103</f>
        <v>9980465.308054702</v>
      </c>
      <c r="S69" s="379">
        <f>'8.Routing factors'!S88*'7.Network costs'!$I$104</f>
        <v>209022.3837475561</v>
      </c>
      <c r="T69" s="379">
        <f>'8.Routing factors'!T88*'7.Network costs'!$I$105</f>
        <v>0</v>
      </c>
      <c r="U69" s="379">
        <f>'8.Routing factors'!U88*'7.Network costs'!$I$106</f>
        <v>0</v>
      </c>
      <c r="V69" s="379">
        <f>'8.Routing factors'!V88*'7.Network costs'!$I$107</f>
        <v>0</v>
      </c>
      <c r="W69" s="379">
        <f>'8.Routing factors'!W88*'7.Network costs'!$I$108</f>
        <v>0</v>
      </c>
      <c r="X69" s="104"/>
      <c r="Y69" s="336">
        <f t="shared" si="12"/>
        <v>12594491.956041137</v>
      </c>
      <c r="Z69" s="377">
        <f>'2.Traffic'!I53</f>
        <v>295.1475371</v>
      </c>
      <c r="AA69" s="381">
        <f aca="true" t="shared" si="13" ref="AA69:AA79">IF(Y69=0,"",Y69/Z69/1000000)</f>
        <v>0.042671851778908636</v>
      </c>
    </row>
    <row r="70" spans="3:27" ht="12.75">
      <c r="C70" s="291" t="str">
        <f>'C. Masterfiles'!C86</f>
        <v>S03</v>
      </c>
      <c r="D70" s="291" t="str">
        <f>'C. Masterfiles'!D86</f>
        <v>Originating calls (local)</v>
      </c>
      <c r="E70" s="379">
        <f>'8.Routing factors'!E89*'7.Network costs'!$I$90</f>
        <v>81712.36137532772</v>
      </c>
      <c r="F70" s="379">
        <f>'8.Routing factors'!F89*'7.Network costs'!$I$91</f>
        <v>68357.07591541423</v>
      </c>
      <c r="G70" s="379">
        <f>'8.Routing factors'!G89*'7.Network costs'!$I$92</f>
        <v>11919.768864265412</v>
      </c>
      <c r="H70" s="379">
        <f>'8.Routing factors'!H89*'7.Network costs'!$I$93</f>
        <v>0</v>
      </c>
      <c r="I70" s="379">
        <f>'8.Routing factors'!I89*'7.Network costs'!$I$94</f>
        <v>26560.856326810535</v>
      </c>
      <c r="J70" s="379">
        <f>'8.Routing factors'!J89*'7.Network costs'!$I$95</f>
        <v>0</v>
      </c>
      <c r="K70" s="379">
        <f>'8.Routing factors'!K89*'7.Network costs'!$I$96</f>
        <v>20397.00892834108</v>
      </c>
      <c r="L70" s="379">
        <f>'8.Routing factors'!L89*'7.Network costs'!$I$97</f>
        <v>0</v>
      </c>
      <c r="M70" s="379">
        <f>'8.Routing factors'!M89*'7.Network costs'!$I$98</f>
        <v>16697.32770486314</v>
      </c>
      <c r="N70" s="379">
        <f>'8.Routing factors'!N89*'7.Network costs'!$I$99</f>
        <v>10916.05867738848</v>
      </c>
      <c r="O70" s="379">
        <f>'8.Routing factors'!O89*'7.Network costs'!$I$100</f>
        <v>48475.82939469476</v>
      </c>
      <c r="P70" s="379">
        <f>'8.Routing factors'!P89*'7.Network costs'!$I$101</f>
        <v>44216.64574103406</v>
      </c>
      <c r="Q70" s="379">
        <f>'8.Routing factors'!Q89*'7.Network costs'!$I$102</f>
        <v>0</v>
      </c>
      <c r="R70" s="379">
        <f>'8.Routing factors'!R89*'7.Network costs'!$I$103</f>
        <v>0</v>
      </c>
      <c r="S70" s="379">
        <f>'8.Routing factors'!S89*'7.Network costs'!$I$104</f>
        <v>0</v>
      </c>
      <c r="T70" s="379">
        <f>'8.Routing factors'!T89*'7.Network costs'!$I$105</f>
        <v>0</v>
      </c>
      <c r="U70" s="379">
        <f>'8.Routing factors'!U89*'7.Network costs'!$I$106</f>
        <v>0</v>
      </c>
      <c r="V70" s="379">
        <f>'8.Routing factors'!V89*'7.Network costs'!$I$107</f>
        <v>12952.183625194026</v>
      </c>
      <c r="W70" s="379">
        <f>'8.Routing factors'!W89*'7.Network costs'!$I$108</f>
        <v>0</v>
      </c>
      <c r="X70" s="104"/>
      <c r="Y70" s="336">
        <f t="shared" si="12"/>
        <v>329252.9329281394</v>
      </c>
      <c r="Z70" s="377">
        <f>'2.Traffic'!I54</f>
        <v>58.48436948999999</v>
      </c>
      <c r="AA70" s="381">
        <f t="shared" si="13"/>
        <v>0.00562975946905672</v>
      </c>
    </row>
    <row r="71" spans="3:27" ht="12.75">
      <c r="C71" s="291" t="str">
        <f>'C. Masterfiles'!C87</f>
        <v>S04</v>
      </c>
      <c r="D71" s="291" t="str">
        <f>'C. Masterfiles'!D87</f>
        <v>Originating calls (national) </v>
      </c>
      <c r="E71" s="379">
        <f>'8.Routing factors'!E90*'7.Network costs'!$I$90</f>
        <v>99865.20369759174</v>
      </c>
      <c r="F71" s="379">
        <f>'8.Routing factors'!F90*'7.Network costs'!$I$91</f>
        <v>83542.96945487346</v>
      </c>
      <c r="G71" s="379">
        <f>'8.Routing factors'!G90*'7.Network costs'!$I$92</f>
        <v>14567.809883627942</v>
      </c>
      <c r="H71" s="379">
        <f>'8.Routing factors'!H90*'7.Network costs'!$I$93</f>
        <v>31127.310524419645</v>
      </c>
      <c r="I71" s="379">
        <f>'8.Routing factors'!I90*'7.Network costs'!$I$94</f>
        <v>32461.493987130103</v>
      </c>
      <c r="J71" s="379">
        <f>'8.Routing factors'!J90*'7.Network costs'!$I$95</f>
        <v>0</v>
      </c>
      <c r="K71" s="379">
        <f>'8.Routing factors'!K90*'7.Network costs'!$I$96</f>
        <v>24928.31460461768</v>
      </c>
      <c r="L71" s="379">
        <f>'8.Routing factors'!L90*'7.Network costs'!$I$97</f>
        <v>0</v>
      </c>
      <c r="M71" s="379">
        <f>'8.Routing factors'!M90*'7.Network costs'!$I$98</f>
        <v>20406.729219247358</v>
      </c>
      <c r="N71" s="379">
        <f>'8.Routing factors'!N90*'7.Network costs'!$I$99</f>
        <v>13341.120058750626</v>
      </c>
      <c r="O71" s="379">
        <f>'8.Routing factors'!O90*'7.Network costs'!$I$100</f>
        <v>59244.996661822166</v>
      </c>
      <c r="P71" s="379">
        <f>'8.Routing factors'!P90*'7.Network costs'!$I$101</f>
        <v>54039.61236011837</v>
      </c>
      <c r="Q71" s="379">
        <f>'8.Routing factors'!Q90*'7.Network costs'!$I$102</f>
        <v>0</v>
      </c>
      <c r="R71" s="379">
        <f>'8.Routing factors'!R90*'7.Network costs'!$I$103</f>
        <v>1217135.5581578747</v>
      </c>
      <c r="S71" s="379">
        <f>'8.Routing factors'!S90*'7.Network costs'!$I$104</f>
        <v>0</v>
      </c>
      <c r="T71" s="379">
        <f>'8.Routing factors'!T90*'7.Network costs'!$I$105</f>
        <v>0</v>
      </c>
      <c r="U71" s="379">
        <f>'8.Routing factors'!U90*'7.Network costs'!$I$106</f>
        <v>0</v>
      </c>
      <c r="V71" s="379">
        <f>'8.Routing factors'!V90*'7.Network costs'!$I$107</f>
        <v>0</v>
      </c>
      <c r="W71" s="379">
        <f>'8.Routing factors'!W90*'7.Network costs'!$I$108</f>
        <v>0</v>
      </c>
      <c r="X71" s="104"/>
      <c r="Y71" s="336">
        <f t="shared" si="12"/>
        <v>1650661.1186100738</v>
      </c>
      <c r="Z71" s="377">
        <f>'2.Traffic'!I55</f>
        <v>61.239398560000005</v>
      </c>
      <c r="AA71" s="381">
        <f t="shared" si="13"/>
        <v>0.026954234649983044</v>
      </c>
    </row>
    <row r="72" spans="3:27" ht="12.75">
      <c r="C72" s="291" t="str">
        <f>'C. Masterfiles'!C88</f>
        <v>S05</v>
      </c>
      <c r="D72" s="291" t="str">
        <f>'C. Masterfiles'!D88</f>
        <v>Originating calls (international)</v>
      </c>
      <c r="E72" s="379">
        <f>'8.Routing factors'!E91*'7.Network costs'!$I$90</f>
        <v>75039.26378766104</v>
      </c>
      <c r="F72" s="379">
        <f>'8.Routing factors'!F91*'7.Network costs'!$I$91</f>
        <v>62774.64712846658</v>
      </c>
      <c r="G72" s="379">
        <f>'8.Routing factors'!G91*'7.Network costs'!$I$92</f>
        <v>10946.332538171297</v>
      </c>
      <c r="H72" s="379">
        <f>'8.Routing factors'!H91*'7.Network costs'!$I$93</f>
        <v>23389.232474961555</v>
      </c>
      <c r="I72" s="379">
        <f>'8.Routing factors'!I91*'7.Network costs'!$I$94</f>
        <v>0</v>
      </c>
      <c r="J72" s="379">
        <f>'8.Routing factors'!J91*'7.Network costs'!$I$95</f>
        <v>0</v>
      </c>
      <c r="K72" s="379">
        <f>'8.Routing factors'!K91*'7.Network costs'!$I$96</f>
        <v>18731.272817128585</v>
      </c>
      <c r="L72" s="379">
        <f>'8.Routing factors'!L91*'7.Network costs'!$I$97</f>
        <v>0</v>
      </c>
      <c r="M72" s="379">
        <f>'8.Routing factors'!M91*'7.Network costs'!$I$98</f>
        <v>15333.728668531225</v>
      </c>
      <c r="N72" s="379">
        <f>'8.Routing factors'!N91*'7.Network costs'!$I$99</f>
        <v>10024.591051182986</v>
      </c>
      <c r="O72" s="379">
        <f>'8.Routing factors'!O91*'7.Network costs'!$I$100</f>
        <v>44517.01661839979</v>
      </c>
      <c r="P72" s="379">
        <f>'8.Routing factors'!P91*'7.Network costs'!$I$101</f>
        <v>40605.66219995263</v>
      </c>
      <c r="Q72" s="379">
        <f>'8.Routing factors'!Q91*'7.Network costs'!$I$102</f>
        <v>0</v>
      </c>
      <c r="R72" s="379">
        <f>'8.Routing factors'!R91*'7.Network costs'!$I$103</f>
        <v>914562.3583818247</v>
      </c>
      <c r="S72" s="379">
        <f>'8.Routing factors'!S91*'7.Network costs'!$I$104</f>
        <v>0</v>
      </c>
      <c r="T72" s="379">
        <f>'8.Routing factors'!T91*'7.Network costs'!$I$105</f>
        <v>0</v>
      </c>
      <c r="U72" s="379">
        <f>'8.Routing factors'!U91*'7.Network costs'!$I$106</f>
        <v>0</v>
      </c>
      <c r="V72" s="379">
        <f>'8.Routing factors'!V91*'7.Network costs'!$I$107</f>
        <v>0</v>
      </c>
      <c r="W72" s="379">
        <f>'8.Routing factors'!W91*'7.Network costs'!$I$108</f>
        <v>0</v>
      </c>
      <c r="X72" s="104"/>
      <c r="Y72" s="336">
        <f t="shared" si="12"/>
        <v>1215924.1056662803</v>
      </c>
      <c r="Z72" s="377">
        <f>'2.Traffic'!I56</f>
        <v>53.42403185</v>
      </c>
      <c r="AA72" s="381">
        <f t="shared" si="13"/>
        <v>0.022759871607599014</v>
      </c>
    </row>
    <row r="73" spans="3:27" ht="12.75">
      <c r="C73" s="291" t="str">
        <f>'C. Masterfiles'!C89</f>
        <v>S06</v>
      </c>
      <c r="D73" s="291" t="str">
        <f>'C. Masterfiles'!D89</f>
        <v>Terminating calls (local)</v>
      </c>
      <c r="E73" s="379">
        <f>'8.Routing factors'!E92*'7.Network costs'!$I$90</f>
        <v>110542.06106756722</v>
      </c>
      <c r="F73" s="379">
        <f>'8.Routing factors'!F92*'7.Network costs'!$I$91</f>
        <v>92474.77288697733</v>
      </c>
      <c r="G73" s="379">
        <f>'8.Routing factors'!G92*'7.Network costs'!$I$92</f>
        <v>16125.293597288715</v>
      </c>
      <c r="H73" s="379">
        <f>'8.Routing factors'!H92*'7.Network costs'!$I$93</f>
        <v>0</v>
      </c>
      <c r="I73" s="379">
        <f>'8.Routing factors'!I92*'7.Network costs'!$I$94</f>
        <v>35932.039567414766</v>
      </c>
      <c r="J73" s="379">
        <f>'8.Routing factors'!J92*'7.Network costs'!$I$95</f>
        <v>0</v>
      </c>
      <c r="K73" s="379">
        <f>'8.Routing factors'!K92*'7.Network costs'!$I$96</f>
        <v>0</v>
      </c>
      <c r="L73" s="379">
        <f>'8.Routing factors'!L92*'7.Network costs'!$I$97</f>
        <v>62267.144833551814</v>
      </c>
      <c r="M73" s="379">
        <f>'8.Routing factors'!M92*'7.Network costs'!$I$98</f>
        <v>22588.467494386623</v>
      </c>
      <c r="N73" s="379">
        <f>'8.Routing factors'!N92*'7.Network costs'!$I$99</f>
        <v>14767.455065830118</v>
      </c>
      <c r="O73" s="379">
        <f>'8.Routing factors'!O92*'7.Network costs'!$I$100</f>
        <v>65579.03850845392</v>
      </c>
      <c r="P73" s="379">
        <f>'8.Routing factors'!P92*'7.Network costs'!$I$101</f>
        <v>59817.13257872142</v>
      </c>
      <c r="Q73" s="379">
        <f>'8.Routing factors'!Q92*'7.Network costs'!$I$102</f>
        <v>0</v>
      </c>
      <c r="R73" s="379">
        <f>'8.Routing factors'!R92*'7.Network costs'!$I$103</f>
        <v>0</v>
      </c>
      <c r="S73" s="379">
        <f>'8.Routing factors'!S92*'7.Network costs'!$I$104</f>
        <v>0</v>
      </c>
      <c r="T73" s="379">
        <f>'8.Routing factors'!T92*'7.Network costs'!$I$105</f>
        <v>0</v>
      </c>
      <c r="U73" s="379">
        <f>'8.Routing factors'!U92*'7.Network costs'!$I$106</f>
        <v>0</v>
      </c>
      <c r="V73" s="379">
        <f>'8.Routing factors'!V92*'7.Network costs'!$I$107</f>
        <v>17521.96423106736</v>
      </c>
      <c r="W73" s="379">
        <f>'8.Routing factors'!W92*'7.Network costs'!$I$108</f>
        <v>0</v>
      </c>
      <c r="X73" s="104"/>
      <c r="Y73" s="336">
        <f t="shared" si="12"/>
        <v>480093.40560019197</v>
      </c>
      <c r="Z73" s="377">
        <f>'2.Traffic'!I57</f>
        <v>79.683919082</v>
      </c>
      <c r="AA73" s="381">
        <f t="shared" si="13"/>
        <v>0.006024972304714885</v>
      </c>
    </row>
    <row r="74" spans="3:27" ht="12.75">
      <c r="C74" s="291" t="str">
        <f>'C. Masterfiles'!C90</f>
        <v>S07</v>
      </c>
      <c r="D74" s="291" t="str">
        <f>'C. Masterfiles'!D90</f>
        <v>Terminating calls (national) </v>
      </c>
      <c r="E74" s="379">
        <f>'8.Routing factors'!E93*'7.Network costs'!$I$90</f>
        <v>133713.93797092183</v>
      </c>
      <c r="F74" s="379">
        <f>'8.Routing factors'!F93*'7.Network costs'!$I$91</f>
        <v>111859.37665958972</v>
      </c>
      <c r="G74" s="379">
        <f>'8.Routing factors'!G93*'7.Network costs'!$I$92</f>
        <v>19505.484943987383</v>
      </c>
      <c r="H74" s="379">
        <f>'8.Routing factors'!H93*'7.Network costs'!$I$93</f>
        <v>41677.73272928538</v>
      </c>
      <c r="I74" s="379">
        <f>'8.Routing factors'!I93*'7.Network costs'!$I$94</f>
        <v>43464.12997446517</v>
      </c>
      <c r="J74" s="379">
        <f>'8.Routing factors'!J93*'7.Network costs'!$I$95</f>
        <v>0</v>
      </c>
      <c r="K74" s="379">
        <f>'8.Routing factors'!K93*'7.Network costs'!$I$96</f>
        <v>0</v>
      </c>
      <c r="L74" s="379">
        <f>'8.Routing factors'!L93*'7.Network costs'!$I$97</f>
        <v>75319.611933152</v>
      </c>
      <c r="M74" s="379">
        <f>'8.Routing factors'!M93*'7.Network costs'!$I$98</f>
        <v>27323.472280441983</v>
      </c>
      <c r="N74" s="379">
        <f>'8.Routing factors'!N93*'7.Network costs'!$I$99</f>
        <v>17863.01568462551</v>
      </c>
      <c r="O74" s="379">
        <f>'8.Routing factors'!O93*'7.Network costs'!$I$100</f>
        <v>79325.74626007996</v>
      </c>
      <c r="P74" s="379">
        <f>'8.Routing factors'!P93*'7.Network costs'!$I$101</f>
        <v>72356.02699990069</v>
      </c>
      <c r="Q74" s="379">
        <f>'8.Routing factors'!Q93*'7.Network costs'!$I$102</f>
        <v>0</v>
      </c>
      <c r="R74" s="379">
        <f>'8.Routing factors'!R93*'7.Network costs'!$I$103</f>
        <v>1629676.6290944847</v>
      </c>
      <c r="S74" s="379">
        <f>'8.Routing factors'!S93*'7.Network costs'!$I$104</f>
        <v>0</v>
      </c>
      <c r="T74" s="379">
        <f>'8.Routing factors'!T93*'7.Network costs'!$I$105</f>
        <v>0</v>
      </c>
      <c r="U74" s="379">
        <f>'8.Routing factors'!U93*'7.Network costs'!$I$106</f>
        <v>0</v>
      </c>
      <c r="V74" s="379">
        <f>'8.Routing factors'!V93*'7.Network costs'!$I$107</f>
        <v>0</v>
      </c>
      <c r="W74" s="379">
        <f>'8.Routing factors'!W93*'7.Network costs'!$I$108</f>
        <v>0</v>
      </c>
      <c r="X74" s="104"/>
      <c r="Y74" s="336">
        <f t="shared" si="12"/>
        <v>2252085.1645309343</v>
      </c>
      <c r="Z74" s="377">
        <f>'2.Traffic'!I58</f>
        <v>81.996139168</v>
      </c>
      <c r="AA74" s="381">
        <f t="shared" si="13"/>
        <v>0.027465746404433614</v>
      </c>
    </row>
    <row r="75" spans="3:27" ht="12.75">
      <c r="C75" s="291" t="str">
        <f>'C. Masterfiles'!C91</f>
        <v>S08</v>
      </c>
      <c r="D75" s="291" t="str">
        <f>'C. Masterfiles'!D91</f>
        <v>Terminating calls (international)</v>
      </c>
      <c r="E75" s="379">
        <f>'8.Routing factors'!E94*'7.Network costs'!$I$90</f>
        <v>455010.0142785535</v>
      </c>
      <c r="F75" s="379">
        <f>'8.Routing factors'!F94*'7.Network costs'!$I$91</f>
        <v>380641.9685443591</v>
      </c>
      <c r="G75" s="379">
        <f>'8.Routing factors'!G94*'7.Network costs'!$I$92</f>
        <v>66374.46415499225</v>
      </c>
      <c r="H75" s="379">
        <f>'8.Routing factors'!H94*'7.Network costs'!$I$93</f>
        <v>141823.55296703507</v>
      </c>
      <c r="I75" s="379">
        <f>'8.Routing factors'!I94*'7.Network costs'!$I$94</f>
        <v>0</v>
      </c>
      <c r="J75" s="379">
        <f>'8.Routing factors'!J94*'7.Network costs'!$I$95</f>
        <v>0</v>
      </c>
      <c r="K75" s="379">
        <f>'8.Routing factors'!K94*'7.Network costs'!$I$96</f>
        <v>0</v>
      </c>
      <c r="L75" s="379">
        <f>'8.Routing factors'!L94*'7.Network costs'!$I$97</f>
        <v>256302.20918788138</v>
      </c>
      <c r="M75" s="379">
        <f>'8.Routing factors'!M94*'7.Network costs'!$I$98</f>
        <v>92977.9924301324</v>
      </c>
      <c r="N75" s="379">
        <f>'8.Routing factors'!N94*'7.Network costs'!$I$99</f>
        <v>60785.36871367144</v>
      </c>
      <c r="O75" s="379">
        <f>'8.Routing factors'!O94*'7.Network costs'!$I$100</f>
        <v>269934.5295350219</v>
      </c>
      <c r="P75" s="379">
        <f>'8.Routing factors'!P94*'7.Network costs'!$I$101</f>
        <v>246217.5400557253</v>
      </c>
      <c r="Q75" s="379">
        <f>'8.Routing factors'!Q94*'7.Network costs'!$I$102</f>
        <v>0</v>
      </c>
      <c r="R75" s="379">
        <f>'8.Routing factors'!R94*'7.Network costs'!$I$103</f>
        <v>5545563.8920376515</v>
      </c>
      <c r="S75" s="379">
        <f>'8.Routing factors'!S94*'7.Network costs'!$I$104</f>
        <v>0</v>
      </c>
      <c r="T75" s="379">
        <f>'8.Routing factors'!T94*'7.Network costs'!$I$105</f>
        <v>0</v>
      </c>
      <c r="U75" s="379">
        <f>'8.Routing factors'!U94*'7.Network costs'!$I$106</f>
        <v>0</v>
      </c>
      <c r="V75" s="379">
        <f>'8.Routing factors'!V94*'7.Network costs'!$I$107</f>
        <v>0</v>
      </c>
      <c r="W75" s="379">
        <f>'8.Routing factors'!W94*'7.Network costs'!$I$108</f>
        <v>0</v>
      </c>
      <c r="X75" s="104"/>
      <c r="Y75" s="336">
        <f t="shared" si="12"/>
        <v>7515631.531905023</v>
      </c>
      <c r="Z75" s="377">
        <f>'2.Traffic'!I59</f>
        <v>323.9433367</v>
      </c>
      <c r="AA75" s="381">
        <f t="shared" si="13"/>
        <v>0.023200451067975383</v>
      </c>
    </row>
    <row r="76" spans="3:27" ht="12.75">
      <c r="C76" s="291" t="str">
        <f>'C. Masterfiles'!C92</f>
        <v>S09</v>
      </c>
      <c r="D76" s="291" t="str">
        <f>'C. Masterfiles'!D92</f>
        <v>Transit calls</v>
      </c>
      <c r="E76" s="379">
        <f>'8.Routing factors'!E95*'7.Network costs'!$I$90</f>
        <v>0</v>
      </c>
      <c r="F76" s="379">
        <f>'8.Routing factors'!F95*'7.Network costs'!$I$91</f>
        <v>0</v>
      </c>
      <c r="G76" s="379">
        <f>'8.Routing factors'!G95*'7.Network costs'!$I$92</f>
        <v>27734.09474413971</v>
      </c>
      <c r="H76" s="379">
        <f>'8.Routing factors'!H95*'7.Network costs'!$I$93</f>
        <v>118519.91289160341</v>
      </c>
      <c r="I76" s="379">
        <f>'8.Routing factors'!I95*'7.Network costs'!$I$94</f>
        <v>123599.93121370707</v>
      </c>
      <c r="J76" s="379">
        <f>'8.Routing factors'!J95*'7.Network costs'!$I$95</f>
        <v>0</v>
      </c>
      <c r="K76" s="379">
        <f>'8.Routing factors'!K95*'7.Network costs'!$I$96</f>
        <v>0</v>
      </c>
      <c r="L76" s="379">
        <f>'8.Routing factors'!L95*'7.Network costs'!$I$97</f>
        <v>107094.04351875852</v>
      </c>
      <c r="M76" s="379">
        <f>'8.Routing factors'!M95*'7.Network costs'!$I$98</f>
        <v>38850.18860801224</v>
      </c>
      <c r="N76" s="379">
        <f>'8.Routing factors'!N95*'7.Network costs'!$I$99</f>
        <v>25398.73122027506</v>
      </c>
      <c r="O76" s="379">
        <f>'8.Routing factors'!O95*'7.Network costs'!$I$100</f>
        <v>0</v>
      </c>
      <c r="P76" s="379">
        <f>'8.Routing factors'!P95*'7.Network costs'!$I$101</f>
        <v>0</v>
      </c>
      <c r="Q76" s="379">
        <f>'8.Routing factors'!Q95*'7.Network costs'!$I$102</f>
        <v>0</v>
      </c>
      <c r="R76" s="379">
        <f>'8.Routing factors'!R95*'7.Network costs'!$I$103</f>
        <v>2317174.1775919776</v>
      </c>
      <c r="S76" s="379">
        <f>'8.Routing factors'!S95*'7.Network costs'!$I$104</f>
        <v>485289.26779362885</v>
      </c>
      <c r="T76" s="379">
        <f>'8.Routing factors'!T95*'7.Network costs'!$I$105</f>
        <v>0</v>
      </c>
      <c r="U76" s="379">
        <f>'8.Routing factors'!U95*'7.Network costs'!$I$106</f>
        <v>0</v>
      </c>
      <c r="V76" s="379">
        <f>'8.Routing factors'!V95*'7.Network costs'!$I$107</f>
        <v>30136.24608791974</v>
      </c>
      <c r="W76" s="379">
        <f>'8.Routing factors'!W95*'7.Network costs'!$I$108</f>
        <v>0</v>
      </c>
      <c r="X76" s="104"/>
      <c r="Y76" s="336">
        <f t="shared" si="12"/>
        <v>3243660.3475821023</v>
      </c>
      <c r="Z76" s="377">
        <f>'2.Traffic'!I60</f>
        <v>126.89756670000001</v>
      </c>
      <c r="AA76" s="381">
        <f t="shared" si="13"/>
        <v>0.025561249375651754</v>
      </c>
    </row>
    <row r="77" spans="3:27" ht="12.75">
      <c r="C77" s="291" t="str">
        <f>'C. Masterfiles'!C93</f>
        <v>S10</v>
      </c>
      <c r="D77" s="291" t="str">
        <f>'C. Masterfiles'!D93</f>
        <v>Calls to directory enquiries, emergency &amp; helpdesk</v>
      </c>
      <c r="E77" s="379">
        <f>'8.Routing factors'!E96*'7.Network costs'!$I$90</f>
        <v>4086.321785467152</v>
      </c>
      <c r="F77" s="379">
        <f>'8.Routing factors'!F96*'7.Network costs'!$I$91</f>
        <v>3418.4424951440687</v>
      </c>
      <c r="G77" s="379">
        <f>'8.Routing factors'!G96*'7.Network costs'!$I$92</f>
        <v>596.0910976988084</v>
      </c>
      <c r="H77" s="379">
        <f>'8.Routing factors'!H96*'7.Network costs'!$I$93</f>
        <v>1273.6789433095032</v>
      </c>
      <c r="I77" s="379">
        <f>'8.Routing factors'!I96*'7.Network costs'!$I$94</f>
        <v>0</v>
      </c>
      <c r="J77" s="379">
        <f>'8.Routing factors'!J96*'7.Network costs'!$I$95</f>
        <v>1396680.352721832</v>
      </c>
      <c r="K77" s="379">
        <f>'8.Routing factors'!K96*'7.Network costs'!$I$96</f>
        <v>1020.0261079153507</v>
      </c>
      <c r="L77" s="379">
        <f>'8.Routing factors'!L96*'7.Network costs'!$I$97</f>
        <v>0</v>
      </c>
      <c r="M77" s="379">
        <f>'8.Routing factors'!M96*'7.Network costs'!$I$98</f>
        <v>835.0101846410242</v>
      </c>
      <c r="N77" s="379">
        <f>'8.Routing factors'!N96*'7.Network costs'!$I$99</f>
        <v>545.8969442819066</v>
      </c>
      <c r="O77" s="379">
        <f>'8.Routing factors'!O96*'7.Network costs'!$I$100</f>
        <v>2424.2089494177917</v>
      </c>
      <c r="P77" s="379">
        <f>'8.Routing factors'!P96*'7.Network costs'!$I$101</f>
        <v>2211.2130861319906</v>
      </c>
      <c r="Q77" s="379">
        <f>'8.Routing factors'!Q96*'7.Network costs'!$I$102</f>
        <v>0</v>
      </c>
      <c r="R77" s="379">
        <f>'8.Routing factors'!R96*'7.Network costs'!$I$103</f>
        <v>49803.20835501569</v>
      </c>
      <c r="S77" s="379">
        <f>'8.Routing factors'!S96*'7.Network costs'!$I$104</f>
        <v>0</v>
      </c>
      <c r="T77" s="379">
        <f>'8.Routing factors'!T96*'7.Network costs'!$I$105</f>
        <v>1723.3416539626414</v>
      </c>
      <c r="U77" s="379">
        <f>'8.Routing factors'!U96*'7.Network costs'!$I$106</f>
        <v>4021.1305259128285</v>
      </c>
      <c r="V77" s="379">
        <f>'8.Routing factors'!V96*'7.Network costs'!$I$107</f>
        <v>0</v>
      </c>
      <c r="W77" s="379">
        <f>'8.Routing factors'!W96*'7.Network costs'!$I$108</f>
        <v>0</v>
      </c>
      <c r="X77" s="104"/>
      <c r="Y77" s="336">
        <f t="shared" si="12"/>
        <v>1464617.7923248177</v>
      </c>
      <c r="Z77" s="377">
        <f>'2.Traffic'!I61</f>
        <v>2.5455915</v>
      </c>
      <c r="AA77" s="381">
        <f t="shared" si="13"/>
        <v>0.5753546051378698</v>
      </c>
    </row>
    <row r="78" spans="3:27" ht="12.75">
      <c r="C78" s="291" t="str">
        <f>'C. Masterfiles'!C94</f>
        <v>S11</v>
      </c>
      <c r="D78" s="291" t="str">
        <f>'C. Masterfiles'!D94</f>
        <v>Calls to non-geographic numbers</v>
      </c>
      <c r="E78" s="379">
        <f>'8.Routing factors'!E97*'7.Network costs'!$I$90</f>
        <v>1776.6597672419077</v>
      </c>
      <c r="F78" s="379">
        <f>'8.Routing factors'!F97*'7.Network costs'!$I$91</f>
        <v>1486.2777741469988</v>
      </c>
      <c r="G78" s="379">
        <f>'8.Routing factors'!G97*'7.Network costs'!$I$92</f>
        <v>259.16976843551896</v>
      </c>
      <c r="H78" s="379">
        <f>'8.Routing factors'!H97*'7.Network costs'!$I$93</f>
        <v>553.7728680617072</v>
      </c>
      <c r="I78" s="379">
        <f>'8.Routing factors'!I97*'7.Network costs'!$I$94</f>
        <v>0</v>
      </c>
      <c r="J78" s="379">
        <f>'8.Routing factors'!J97*'7.Network costs'!$I$95</f>
        <v>607251.6851715427</v>
      </c>
      <c r="K78" s="379">
        <f>'8.Routing factors'!K97*'7.Network costs'!$I$96</f>
        <v>443.48914319834444</v>
      </c>
      <c r="L78" s="379">
        <f>'8.Routing factors'!L97*'7.Network costs'!$I$97</f>
        <v>0</v>
      </c>
      <c r="M78" s="379">
        <f>'8.Routing factors'!M97*'7.Network costs'!$I$98</f>
        <v>363.04752248466065</v>
      </c>
      <c r="N78" s="379">
        <f>'8.Routing factors'!N97*'7.Network costs'!$I$99</f>
        <v>237.34624654751318</v>
      </c>
      <c r="O78" s="379">
        <f>'8.Routing factors'!O97*'7.Network costs'!$I$100</f>
        <v>1054.0027765644952</v>
      </c>
      <c r="P78" s="379">
        <f>'8.Routing factors'!P97*'7.Network costs'!$I$101</f>
        <v>961.3959774047518</v>
      </c>
      <c r="Q78" s="379">
        <f>'8.Routing factors'!Q97*'7.Network costs'!$I$102</f>
        <v>0</v>
      </c>
      <c r="R78" s="379">
        <f>'8.Routing factors'!R97*'7.Network costs'!$I$103</f>
        <v>21653.545953872283</v>
      </c>
      <c r="S78" s="379">
        <f>'8.Routing factors'!S97*'7.Network costs'!$I$104</f>
        <v>0</v>
      </c>
      <c r="T78" s="379">
        <f>'8.Routing factors'!T97*'7.Network costs'!$I$105</f>
        <v>749.2781877082457</v>
      </c>
      <c r="U78" s="379">
        <f>'8.Routing factors'!U97*'7.Network costs'!$I$106</f>
        <v>1748.3157713192395</v>
      </c>
      <c r="V78" s="379">
        <f>'8.Routing factors'!V97*'7.Network costs'!$I$107</f>
        <v>0</v>
      </c>
      <c r="W78" s="379">
        <f>'8.Routing factors'!W97*'7.Network costs'!$I$108</f>
        <v>0</v>
      </c>
      <c r="X78" s="104"/>
      <c r="Y78" s="336">
        <f t="shared" si="12"/>
        <v>636789.6711572091</v>
      </c>
      <c r="Z78" s="377">
        <f>'2.Traffic'!I62</f>
        <v>1.2483987335</v>
      </c>
      <c r="AA78" s="381">
        <f t="shared" si="13"/>
        <v>0.5100851627523773</v>
      </c>
    </row>
    <row r="79" spans="3:27" ht="12.75">
      <c r="C79" s="291" t="str">
        <f>'C. Masterfiles'!C95</f>
        <v>S12</v>
      </c>
      <c r="D79" s="291" t="str">
        <f>'C. Masterfiles'!D95</f>
        <v>Internet dial-up calls</v>
      </c>
      <c r="E79" s="379">
        <f>'8.Routing factors'!E98*'7.Network costs'!$I$90</f>
        <v>47199.68597688442</v>
      </c>
      <c r="F79" s="379">
        <f>'8.Routing factors'!F98*'7.Network costs'!$I$91</f>
        <v>39485.24388722159</v>
      </c>
      <c r="G79" s="379">
        <f>'8.Routing factors'!G98*'7.Network costs'!$I$92</f>
        <v>6885.241569829927</v>
      </c>
      <c r="H79" s="379">
        <f>'8.Routing factors'!H98*'7.Network costs'!$I$93</f>
        <v>14711.823815095333</v>
      </c>
      <c r="I79" s="379">
        <f>'8.Routing factors'!I98*'7.Network costs'!$I$94</f>
        <v>0</v>
      </c>
      <c r="J79" s="379">
        <f>'8.Routing factors'!J98*'7.Network costs'!$I$95</f>
        <v>0</v>
      </c>
      <c r="K79" s="379">
        <f>'8.Routing factors'!K98*'7.Network costs'!$I$96</f>
        <v>11781.967869748712</v>
      </c>
      <c r="L79" s="379">
        <f>'8.Routing factors'!L98*'7.Network costs'!$I$97</f>
        <v>0</v>
      </c>
      <c r="M79" s="379">
        <f>'8.Routing factors'!M98*'7.Network costs'!$I$98</f>
        <v>9644.913095861582</v>
      </c>
      <c r="N79" s="379">
        <f>'8.Routing factors'!N98*'7.Network costs'!$I$99</f>
        <v>6305.466308963515</v>
      </c>
      <c r="O79" s="379">
        <f>'8.Routing factors'!O98*'7.Network costs'!$I$100</f>
        <v>28001.19695952722</v>
      </c>
      <c r="P79" s="379">
        <f>'8.Routing factors'!P98*'7.Network costs'!$I$101</f>
        <v>25540.955600851175</v>
      </c>
      <c r="Q79" s="379">
        <f>'8.Routing factors'!Q98*'7.Network costs'!$I$102</f>
        <v>0</v>
      </c>
      <c r="R79" s="379">
        <f>'8.Routing factors'!R98*'7.Network costs'!$I$103</f>
        <v>575259.5900201122</v>
      </c>
      <c r="S79" s="379">
        <f>'8.Routing factors'!S98*'7.Network costs'!$I$104</f>
        <v>0</v>
      </c>
      <c r="T79" s="379">
        <f>'8.Routing factors'!T98*'7.Network costs'!$I$105</f>
        <v>0</v>
      </c>
      <c r="U79" s="379">
        <f>'8.Routing factors'!U98*'7.Network costs'!$I$106</f>
        <v>0</v>
      </c>
      <c r="V79" s="379">
        <f>'8.Routing factors'!V98*'7.Network costs'!$I$107</f>
        <v>0</v>
      </c>
      <c r="W79" s="379">
        <f>'8.Routing factors'!W98*'7.Network costs'!$I$108</f>
        <v>0</v>
      </c>
      <c r="X79" s="104"/>
      <c r="Y79" s="336">
        <f t="shared" si="12"/>
        <v>764816.0851040957</v>
      </c>
      <c r="Z79" s="377">
        <f>'2.Traffic'!I63</f>
        <v>36.98234195</v>
      </c>
      <c r="AA79" s="381">
        <f t="shared" si="13"/>
        <v>0.020680574695299842</v>
      </c>
    </row>
    <row r="80" spans="3:27" ht="12.75">
      <c r="C80" s="90"/>
      <c r="D80" s="90" t="s">
        <v>635</v>
      </c>
      <c r="E80" s="380">
        <f aca="true" t="shared" si="14" ref="E80:U80">SUM(E68:E79)</f>
        <v>8417529.213192483</v>
      </c>
      <c r="F80" s="380">
        <f t="shared" si="14"/>
        <v>7041745.872493554</v>
      </c>
      <c r="G80" s="380">
        <f t="shared" si="14"/>
        <v>1015321.4978944192</v>
      </c>
      <c r="H80" s="380">
        <f t="shared" si="14"/>
        <v>655046.127673819</v>
      </c>
      <c r="I80" s="380">
        <f t="shared" si="14"/>
        <v>262018.45106952765</v>
      </c>
      <c r="J80" s="380">
        <f t="shared" si="14"/>
        <v>2003932.0378933747</v>
      </c>
      <c r="K80" s="380">
        <f t="shared" si="14"/>
        <v>1001966.0189466872</v>
      </c>
      <c r="L80" s="380">
        <f t="shared" si="14"/>
        <v>500983.0094733437</v>
      </c>
      <c r="M80" s="380">
        <f t="shared" si="14"/>
        <v>1001966.0189466873</v>
      </c>
      <c r="N80" s="380">
        <f t="shared" si="14"/>
        <v>655046.1276738191</v>
      </c>
      <c r="O80" s="380">
        <f t="shared" si="14"/>
        <v>4750792.858992774</v>
      </c>
      <c r="P80" s="380">
        <f t="shared" si="14"/>
        <v>4333378.664339213</v>
      </c>
      <c r="Q80" s="380">
        <f t="shared" si="14"/>
        <v>14082064.522284035</v>
      </c>
      <c r="R80" s="380">
        <f t="shared" si="14"/>
        <v>30282669.724911686</v>
      </c>
      <c r="S80" s="380">
        <f t="shared" si="14"/>
        <v>694311.651541185</v>
      </c>
      <c r="T80" s="380">
        <f t="shared" si="14"/>
        <v>2472.619841670887</v>
      </c>
      <c r="U80" s="380">
        <f t="shared" si="14"/>
        <v>5769.446297232068</v>
      </c>
      <c r="V80" s="380">
        <f>SUM(V68:V79)</f>
        <v>60610.39394418112</v>
      </c>
      <c r="W80" s="380">
        <f>SUM(W68:W79)</f>
        <v>25749.86303116061</v>
      </c>
      <c r="X80" s="55"/>
      <c r="Y80" s="380">
        <f>SUM(Y68:Y79)</f>
        <v>76701244.41716826</v>
      </c>
      <c r="Z80" s="157"/>
      <c r="AA80" s="157"/>
    </row>
    <row r="81" spans="3:27" ht="12.75">
      <c r="C81" s="83"/>
      <c r="D81" s="102"/>
      <c r="E81" s="223" t="str">
        <f>IF(ROUND(E80,0)=ROUND('7.Network costs'!$I$90,0),"Ok","Not ok")</f>
        <v>Ok</v>
      </c>
      <c r="F81" s="223" t="str">
        <f>IF(ROUND(F80,0)=ROUND('7.Network costs'!$I$91,0),"Ok","Not ok")</f>
        <v>Ok</v>
      </c>
      <c r="G81" s="223" t="str">
        <f>IF(ROUND(G80,0)=ROUND('7.Network costs'!$I$92,0),"Ok","Not ok")</f>
        <v>Ok</v>
      </c>
      <c r="H81" s="223" t="str">
        <f>IF(ROUND(H80,0)=ROUND('7.Network costs'!$I$93,0),"Ok","Not ok")</f>
        <v>Ok</v>
      </c>
      <c r="I81" s="223" t="str">
        <f>IF(ROUND(I80,0)=ROUND('7.Network costs'!$I$94,0),"Ok","Not ok")</f>
        <v>Ok</v>
      </c>
      <c r="J81" s="223" t="str">
        <f>IF(ROUND(J80,0)=ROUND('7.Network costs'!$I$95,0),"Ok","Not ok")</f>
        <v>Ok</v>
      </c>
      <c r="K81" s="223" t="str">
        <f>IF(ROUND(K80,0)=ROUND('7.Network costs'!$I$96,0),"Ok","Not ok")</f>
        <v>Ok</v>
      </c>
      <c r="L81" s="223" t="str">
        <f>IF(ROUND(L80,0)=ROUND('7.Network costs'!$I$97,0),"Ok","Not ok")</f>
        <v>Ok</v>
      </c>
      <c r="M81" s="223" t="str">
        <f>IF(ROUND(M80,0)=ROUND('7.Network costs'!$I$98,0),"Ok","Not ok")</f>
        <v>Ok</v>
      </c>
      <c r="N81" s="223" t="str">
        <f>IF(ROUND(N80,0)=ROUND('7.Network costs'!$I$99,0),"Ok","Not ok")</f>
        <v>Ok</v>
      </c>
      <c r="O81" s="223" t="str">
        <f>IF(ROUND(O80,0)=ROUND('7.Network costs'!$I$100,0),"Ok","Not ok")</f>
        <v>Ok</v>
      </c>
      <c r="P81" s="223" t="str">
        <f>IF(ROUND(P80,0)=ROUND('7.Network costs'!$I$101,0),"Ok","Not ok")</f>
        <v>Ok</v>
      </c>
      <c r="Q81" s="223" t="str">
        <f>IF(ROUND(Q80,0)=ROUND('7.Network costs'!$I$102,0),"Ok","Not ok")</f>
        <v>Ok</v>
      </c>
      <c r="R81" s="223" t="str">
        <f>IF(ROUND(R80,0)=ROUND('7.Network costs'!$I$103,0),"Ok","Not ok")</f>
        <v>Ok</v>
      </c>
      <c r="S81" s="223" t="str">
        <f>IF(ROUND(S80,0)=ROUND('7.Network costs'!$I$104,0),"Ok","Not ok")</f>
        <v>Ok</v>
      </c>
      <c r="T81" s="223" t="str">
        <f>IF(ROUND(T80,0)=ROUND('7.Network costs'!$I$105,0),"Ok","Not ok")</f>
        <v>Ok</v>
      </c>
      <c r="U81" s="223" t="str">
        <f>IF(ROUND(U80,0)=ROUND('7.Network costs'!$I$106,0),"Ok","Not ok")</f>
        <v>Ok</v>
      </c>
      <c r="V81" s="223" t="str">
        <f>IF(ROUND(V80,0)=ROUND('7.Network costs'!$I$107,0),"Ok","Not ok")</f>
        <v>Ok</v>
      </c>
      <c r="W81" s="223" t="str">
        <f>IF(ROUND(W80,0)=ROUND('7.Network costs'!$I$108,0),"Ok","Not ok")</f>
        <v>Ok</v>
      </c>
      <c r="X81" s="83"/>
      <c r="Y81" s="223" t="str">
        <f>IF(ROUND(Y80,0)=ROUND('7.Network costs'!$F$109,0),"Ok","Not ok")</f>
        <v>Not ok</v>
      </c>
      <c r="Z81" s="228"/>
      <c r="AA81" s="83"/>
    </row>
    <row r="84" spans="3:27" ht="39.75">
      <c r="C84" s="103">
        <f>'8.Routing factors'!C104</f>
        <v>2012</v>
      </c>
      <c r="D84" s="103" t="str">
        <f>'8.Routing factors'!D104</f>
        <v>Service</v>
      </c>
      <c r="E84" s="225" t="str">
        <f aca="true" t="shared" si="15" ref="E84:U84">E66</f>
        <v>RAU</v>
      </c>
      <c r="F84" s="225" t="str">
        <f t="shared" si="15"/>
        <v>LS</v>
      </c>
      <c r="G84" s="225" t="str">
        <f t="shared" si="15"/>
        <v>TS</v>
      </c>
      <c r="H84" s="225" t="str">
        <f t="shared" si="15"/>
        <v>ISC</v>
      </c>
      <c r="I84" s="225" t="str">
        <f t="shared" si="15"/>
        <v>IGW</v>
      </c>
      <c r="J84" s="225" t="str">
        <f t="shared" si="15"/>
        <v>IN</v>
      </c>
      <c r="K84" s="225" t="str">
        <f t="shared" si="15"/>
        <v>RBIL</v>
      </c>
      <c r="L84" s="225" t="str">
        <f t="shared" si="15"/>
        <v>IBIL</v>
      </c>
      <c r="M84" s="225" t="str">
        <f t="shared" si="15"/>
        <v>NMS</v>
      </c>
      <c r="N84" s="225" t="str">
        <f t="shared" si="15"/>
        <v>OSS</v>
      </c>
      <c r="O84" s="225" t="str">
        <f t="shared" si="15"/>
        <v>Rau-TS</v>
      </c>
      <c r="P84" s="225" t="str">
        <f t="shared" si="15"/>
        <v>LS-TS</v>
      </c>
      <c r="Q84" s="225" t="str">
        <f t="shared" si="15"/>
        <v>TS-TS</v>
      </c>
      <c r="R84" s="225" t="str">
        <f t="shared" si="15"/>
        <v>TS-ISC</v>
      </c>
      <c r="S84" s="225" t="str">
        <f t="shared" si="15"/>
        <v>ISC-ISC</v>
      </c>
      <c r="T84" s="225" t="str">
        <f t="shared" si="15"/>
        <v>ISC-IN</v>
      </c>
      <c r="U84" s="225" t="str">
        <f t="shared" si="15"/>
        <v>TS-IN</v>
      </c>
      <c r="V84" s="225" t="str">
        <f>V66</f>
        <v>TS-IGW</v>
      </c>
      <c r="W84" s="225" t="str">
        <f>W66</f>
        <v>LS-LS</v>
      </c>
      <c r="X84" s="88"/>
      <c r="Y84" s="227" t="s">
        <v>760</v>
      </c>
      <c r="Z84" s="227" t="s">
        <v>576</v>
      </c>
      <c r="AA84" s="227" t="s">
        <v>675</v>
      </c>
    </row>
    <row r="85" spans="3:27" ht="12.75">
      <c r="C85" s="103"/>
      <c r="D85" s="103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88"/>
      <c r="Y85" s="227" t="str">
        <f>'C. Masterfiles'!D$110</f>
        <v>Euro</v>
      </c>
      <c r="Z85" s="227" t="str">
        <f>'2.Traffic'!E$16</f>
        <v>Millions</v>
      </c>
      <c r="AA85" s="227" t="str">
        <f>Y85</f>
        <v>Euro</v>
      </c>
    </row>
    <row r="86" spans="3:27" ht="12.75">
      <c r="C86" s="291" t="str">
        <f>'C. Masterfiles'!C84</f>
        <v>S01</v>
      </c>
      <c r="D86" s="291" t="str">
        <f>'C. Masterfiles'!D84</f>
        <v>On-net local calls</v>
      </c>
      <c r="E86" s="379">
        <f>'8.Routing factors'!E105*'7.Network costs'!$J$90</f>
        <v>7608062.550622084</v>
      </c>
      <c r="F86" s="379">
        <f>'8.Routing factors'!F105*'7.Network costs'!$J$91</f>
        <v>4541315.2924906</v>
      </c>
      <c r="G86" s="379">
        <f>'8.Routing factors'!G105*'7.Network costs'!$J$92</f>
        <v>680869.3659399191</v>
      </c>
      <c r="H86" s="379">
        <f>'8.Routing factors'!H105*'7.Network costs'!$J$93</f>
        <v>213104.53438553135</v>
      </c>
      <c r="I86" s="379">
        <f>'8.Routing factors'!I105*'7.Network costs'!$J$94</f>
        <v>0</v>
      </c>
      <c r="J86" s="379">
        <f>'8.Routing factors'!J105*'7.Network costs'!$J$95</f>
        <v>0</v>
      </c>
      <c r="K86" s="379">
        <f>'8.Routing factors'!K105*'7.Network costs'!$J$96</f>
        <v>851139.8856969721</v>
      </c>
      <c r="L86" s="379">
        <f>'8.Routing factors'!L105*'7.Network costs'!$J$97</f>
        <v>0</v>
      </c>
      <c r="M86" s="379">
        <f>'8.Routing factors'!M105*'7.Network costs'!$J$98</f>
        <v>694133.2020613938</v>
      </c>
      <c r="N86" s="379">
        <f>'8.Routing factors'!N105*'7.Network costs'!$J$99</f>
        <v>444592.7475120749</v>
      </c>
      <c r="O86" s="379">
        <f>'8.Routing factors'!O105*'7.Network costs'!$J$100</f>
        <v>3525159.4902267926</v>
      </c>
      <c r="P86" s="379">
        <f>'8.Routing factors'!P105*'7.Network costs'!$J$101</f>
        <v>3215031.7043773723</v>
      </c>
      <c r="Q86" s="379">
        <f>'8.Routing factors'!Q105*'7.Network costs'!$J$102</f>
        <v>12667627.06805462</v>
      </c>
      <c r="R86" s="379">
        <f>'8.Routing factors'!R105*'7.Network costs'!$J$103</f>
        <v>7243047.458122095</v>
      </c>
      <c r="S86" s="379">
        <f>'8.Routing factors'!S105*'7.Network costs'!$J$104</f>
        <v>0</v>
      </c>
      <c r="T86" s="379">
        <f>'8.Routing factors'!T105*'7.Network costs'!$J$105</f>
        <v>0</v>
      </c>
      <c r="U86" s="379">
        <f>'8.Routing factors'!U105*'7.Network costs'!$J$106</f>
        <v>0</v>
      </c>
      <c r="V86" s="379">
        <f>'8.Routing factors'!V105*'7.Network costs'!$J$107</f>
        <v>0</v>
      </c>
      <c r="W86" s="379">
        <f>'8.Routing factors'!W105*'7.Network costs'!$J$108</f>
        <v>23269.083544012214</v>
      </c>
      <c r="X86" s="104"/>
      <c r="Y86" s="336">
        <f aca="true" t="shared" si="16" ref="Y86:Y97">SUM(E86:T86)</f>
        <v>41684083.29948946</v>
      </c>
      <c r="Z86" s="377">
        <f>'2.Traffic'!J52</f>
        <v>2283.2594726400002</v>
      </c>
      <c r="AA86" s="381">
        <f>IF(Y86=0,"",Y86/Z86/1000000)</f>
        <v>0.01825639345811739</v>
      </c>
    </row>
    <row r="87" spans="3:27" ht="12.75">
      <c r="C87" s="291" t="str">
        <f>'C. Masterfiles'!C85</f>
        <v>S02</v>
      </c>
      <c r="D87" s="291" t="str">
        <f>'C. Masterfiles'!D85</f>
        <v>On-net national calls</v>
      </c>
      <c r="E87" s="379">
        <f>'8.Routing factors'!E106*'7.Network costs'!$J$90</f>
        <v>877661.499253705</v>
      </c>
      <c r="F87" s="379">
        <f>'8.Routing factors'!F106*'7.Network costs'!$J$91</f>
        <v>523883.3884015817</v>
      </c>
      <c r="G87" s="379">
        <f>'8.Routing factors'!G106*'7.Network costs'!$J$92</f>
        <v>104726.23825591223</v>
      </c>
      <c r="H87" s="379">
        <f>'8.Routing factors'!H106*'7.Network costs'!$J$93</f>
        <v>73750.83100412012</v>
      </c>
      <c r="I87" s="379">
        <f>'8.Routing factors'!I106*'7.Network costs'!$J$94</f>
        <v>0</v>
      </c>
      <c r="J87" s="379">
        <f>'8.Routing factors'!J106*'7.Network costs'!$J$95</f>
        <v>0</v>
      </c>
      <c r="K87" s="379">
        <f>'8.Routing factors'!K106*'7.Network costs'!$J$96</f>
        <v>98186.98297825521</v>
      </c>
      <c r="L87" s="379">
        <f>'8.Routing factors'!L106*'7.Network costs'!$J$97</f>
        <v>0</v>
      </c>
      <c r="M87" s="379">
        <f>'8.Routing factors'!M106*'7.Network costs'!$J$98</f>
        <v>80074.7868132557</v>
      </c>
      <c r="N87" s="379">
        <f>'8.Routing factors'!N106*'7.Network costs'!$J$99</f>
        <v>51287.95074205405</v>
      </c>
      <c r="O87" s="379">
        <f>'8.Routing factors'!O106*'7.Network costs'!$J$100</f>
        <v>203330.13449316975</v>
      </c>
      <c r="P87" s="379">
        <f>'8.Routing factors'!P106*'7.Network costs'!$J$101</f>
        <v>185442.05749079428</v>
      </c>
      <c r="Q87" s="379">
        <f>'8.Routing factors'!Q106*'7.Network costs'!$J$102</f>
        <v>0</v>
      </c>
      <c r="R87" s="379">
        <f>'8.Routing factors'!R106*'7.Network costs'!$J$103</f>
        <v>8355535.787151736</v>
      </c>
      <c r="S87" s="379">
        <f>'8.Routing factors'!S106*'7.Network costs'!$J$104</f>
        <v>176887.96755079165</v>
      </c>
      <c r="T87" s="379">
        <f>'8.Routing factors'!T106*'7.Network costs'!$J$105</f>
        <v>0</v>
      </c>
      <c r="U87" s="379">
        <f>'8.Routing factors'!U106*'7.Network costs'!$J$106</f>
        <v>0</v>
      </c>
      <c r="V87" s="379">
        <f>'8.Routing factors'!V106*'7.Network costs'!$J$107</f>
        <v>0</v>
      </c>
      <c r="W87" s="379">
        <f>'8.Routing factors'!W106*'7.Network costs'!$J$108</f>
        <v>0</v>
      </c>
      <c r="X87" s="104"/>
      <c r="Y87" s="336">
        <f t="shared" si="16"/>
        <v>10730767.624135375</v>
      </c>
      <c r="Z87" s="377">
        <f>'2.Traffic'!J53</f>
        <v>263.39543328</v>
      </c>
      <c r="AA87" s="381">
        <f aca="true" t="shared" si="17" ref="AA87:AA97">IF(Y87=0,"",Y87/Z87/1000000)</f>
        <v>0.040740143025669445</v>
      </c>
    </row>
    <row r="88" spans="3:27" ht="12.75">
      <c r="C88" s="291" t="str">
        <f>'C. Masterfiles'!C86</f>
        <v>S03</v>
      </c>
      <c r="D88" s="291" t="str">
        <f>'C. Masterfiles'!D86</f>
        <v>Originating calls (local)</v>
      </c>
      <c r="E88" s="379">
        <f>'8.Routing factors'!E107*'7.Network costs'!$J$90</f>
        <v>98390.90407451449</v>
      </c>
      <c r="F88" s="379">
        <f>'8.Routing factors'!F107*'7.Network costs'!$J$91</f>
        <v>58730.342231352064</v>
      </c>
      <c r="G88" s="379">
        <f>'8.Routing factors'!G107*'7.Network costs'!$J$92</f>
        <v>11740.413896569491</v>
      </c>
      <c r="H88" s="379">
        <f>'8.Routing factors'!H107*'7.Network costs'!$J$93</f>
        <v>0</v>
      </c>
      <c r="I88" s="379">
        <f>'8.Routing factors'!I107*'7.Network costs'!$J$94</f>
        <v>27326.87218815633</v>
      </c>
      <c r="J88" s="379">
        <f>'8.Routing factors'!J107*'7.Network costs'!$J$95</f>
        <v>0</v>
      </c>
      <c r="K88" s="379">
        <f>'8.Routing factors'!K107*'7.Network costs'!$J$96</f>
        <v>22014.651506974405</v>
      </c>
      <c r="L88" s="379">
        <f>'8.Routing factors'!L107*'7.Network costs'!$J$97</f>
        <v>0</v>
      </c>
      <c r="M88" s="379">
        <f>'8.Routing factors'!M107*'7.Network costs'!$J$98</f>
        <v>17953.688693943197</v>
      </c>
      <c r="N88" s="379">
        <f>'8.Routing factors'!N107*'7.Network costs'!$J$99</f>
        <v>11499.348771549892</v>
      </c>
      <c r="O88" s="379">
        <f>'8.Routing factors'!O107*'7.Network costs'!$J$100</f>
        <v>45588.956050566194</v>
      </c>
      <c r="P88" s="379">
        <f>'8.Routing factors'!P107*'7.Network costs'!$J$101</f>
        <v>41578.24333292997</v>
      </c>
      <c r="Q88" s="379">
        <f>'8.Routing factors'!Q107*'7.Network costs'!$J$102</f>
        <v>0</v>
      </c>
      <c r="R88" s="379">
        <f>'8.Routing factors'!R107*'7.Network costs'!$J$103</f>
        <v>0</v>
      </c>
      <c r="S88" s="379">
        <f>'8.Routing factors'!S107*'7.Network costs'!$J$104</f>
        <v>0</v>
      </c>
      <c r="T88" s="379">
        <f>'8.Routing factors'!T107*'7.Network costs'!$J$105</f>
        <v>0</v>
      </c>
      <c r="U88" s="379">
        <f>'8.Routing factors'!U107*'7.Network costs'!$J$106</f>
        <v>0</v>
      </c>
      <c r="V88" s="379">
        <f>'8.Routing factors'!V107*'7.Network costs'!$J$107</f>
        <v>12114.223653310379</v>
      </c>
      <c r="W88" s="379">
        <f>'8.Routing factors'!W107*'7.Network costs'!$J$108</f>
        <v>0</v>
      </c>
      <c r="X88" s="104"/>
      <c r="Y88" s="336">
        <f t="shared" si="16"/>
        <v>334823.42074655596</v>
      </c>
      <c r="Z88" s="377">
        <f>'2.Traffic'!J54</f>
        <v>58.6374483456</v>
      </c>
      <c r="AA88" s="381">
        <f t="shared" si="17"/>
        <v>0.005710061235495085</v>
      </c>
    </row>
    <row r="89" spans="3:27" ht="12.75">
      <c r="C89" s="291" t="str">
        <f>'C. Masterfiles'!C87</f>
        <v>S04</v>
      </c>
      <c r="D89" s="291" t="str">
        <f>'C. Masterfiles'!D87</f>
        <v>Originating calls (national) </v>
      </c>
      <c r="E89" s="379">
        <f>'8.Routing factors'!E108*'7.Network costs'!$J$90</f>
        <v>100933.49985813971</v>
      </c>
      <c r="F89" s="379">
        <f>'8.Routing factors'!F108*'7.Network costs'!$J$91</f>
        <v>60248.03862750685</v>
      </c>
      <c r="G89" s="379">
        <f>'8.Routing factors'!G108*'7.Network costs'!$J$92</f>
        <v>12043.807052189093</v>
      </c>
      <c r="H89" s="379">
        <f>'8.Routing factors'!H108*'7.Network costs'!$J$93</f>
        <v>28271.83182058908</v>
      </c>
      <c r="I89" s="379">
        <f>'8.Routing factors'!I108*'7.Network costs'!$J$94</f>
        <v>28033.04712026846</v>
      </c>
      <c r="J89" s="379">
        <f>'8.Routing factors'!J108*'7.Network costs'!$J$95</f>
        <v>0</v>
      </c>
      <c r="K89" s="379">
        <f>'8.Routing factors'!K108*'7.Network costs'!$J$96</f>
        <v>22583.549217856504</v>
      </c>
      <c r="L89" s="379">
        <f>'8.Routing factors'!L108*'7.Network costs'!$J$97</f>
        <v>0</v>
      </c>
      <c r="M89" s="379">
        <f>'8.Routing factors'!M108*'7.Network costs'!$J$98</f>
        <v>18417.64391016083</v>
      </c>
      <c r="N89" s="379">
        <f>'8.Routing factors'!N108*'7.Network costs'!$J$99</f>
        <v>11796.51237601109</v>
      </c>
      <c r="O89" s="379">
        <f>'8.Routing factors'!O108*'7.Network costs'!$J$100</f>
        <v>46767.05567801</v>
      </c>
      <c r="P89" s="379">
        <f>'8.Routing factors'!P108*'7.Network costs'!$J$101</f>
        <v>42652.69901745939</v>
      </c>
      <c r="Q89" s="379">
        <f>'8.Routing factors'!Q108*'7.Network costs'!$J$102</f>
        <v>0</v>
      </c>
      <c r="R89" s="379">
        <f>'8.Routing factors'!R108*'7.Network costs'!$J$103</f>
        <v>960909.7253374829</v>
      </c>
      <c r="S89" s="379">
        <f>'8.Routing factors'!S108*'7.Network costs'!$J$104</f>
        <v>0</v>
      </c>
      <c r="T89" s="379">
        <f>'8.Routing factors'!T108*'7.Network costs'!$J$105</f>
        <v>0</v>
      </c>
      <c r="U89" s="379">
        <f>'8.Routing factors'!U108*'7.Network costs'!$J$106</f>
        <v>0</v>
      </c>
      <c r="V89" s="379">
        <f>'8.Routing factors'!V108*'7.Network costs'!$J$107</f>
        <v>0</v>
      </c>
      <c r="W89" s="379">
        <f>'8.Routing factors'!W108*'7.Network costs'!$J$108</f>
        <v>0</v>
      </c>
      <c r="X89" s="104"/>
      <c r="Y89" s="336">
        <f t="shared" si="16"/>
        <v>1332657.4100156738</v>
      </c>
      <c r="Z89" s="377">
        <f>'2.Traffic'!J55</f>
        <v>51.5371167744</v>
      </c>
      <c r="AA89" s="381">
        <f t="shared" si="17"/>
        <v>0.025858206539750475</v>
      </c>
    </row>
    <row r="90" spans="3:27" ht="12.75">
      <c r="C90" s="291" t="str">
        <f>'C. Masterfiles'!C88</f>
        <v>S05</v>
      </c>
      <c r="D90" s="291" t="str">
        <f>'C. Masterfiles'!D88</f>
        <v>Originating calls (international)</v>
      </c>
      <c r="E90" s="379">
        <f>'8.Routing factors'!E109*'7.Network costs'!$J$90</f>
        <v>67753.50597426482</v>
      </c>
      <c r="F90" s="379">
        <f>'8.Routing factors'!F109*'7.Network costs'!$J$91</f>
        <v>40442.626589028674</v>
      </c>
      <c r="G90" s="379">
        <f>'8.Routing factors'!G109*'7.Network costs'!$J$92</f>
        <v>8084.631506985041</v>
      </c>
      <c r="H90" s="379">
        <f>'8.Routing factors'!H109*'7.Network costs'!$J$93</f>
        <v>18977.997680174736</v>
      </c>
      <c r="I90" s="379">
        <f>'8.Routing factors'!I109*'7.Network costs'!$J$94</f>
        <v>0</v>
      </c>
      <c r="J90" s="379">
        <f>'8.Routing factors'!J109*'7.Network costs'!$J$95</f>
        <v>0</v>
      </c>
      <c r="K90" s="379">
        <f>'8.Routing factors'!K109*'7.Network costs'!$J$96</f>
        <v>15159.631232471816</v>
      </c>
      <c r="L90" s="379">
        <f>'8.Routing factors'!L109*'7.Network costs'!$J$97</f>
        <v>0</v>
      </c>
      <c r="M90" s="379">
        <f>'8.Routing factors'!M109*'7.Network costs'!$J$98</f>
        <v>12363.18911414753</v>
      </c>
      <c r="N90" s="379">
        <f>'8.Routing factors'!N109*'7.Network costs'!$J$99</f>
        <v>7918.630314681403</v>
      </c>
      <c r="O90" s="379">
        <f>'8.Routing factors'!O109*'7.Network costs'!$J$100</f>
        <v>31393.26378984464</v>
      </c>
      <c r="P90" s="379">
        <f>'8.Routing factors'!P109*'7.Network costs'!$J$101</f>
        <v>28631.42466831742</v>
      </c>
      <c r="Q90" s="379">
        <f>'8.Routing factors'!Q109*'7.Network costs'!$J$102</f>
        <v>0</v>
      </c>
      <c r="R90" s="379">
        <f>'8.Routing factors'!R109*'7.Network costs'!$J$103</f>
        <v>645028.6862923239</v>
      </c>
      <c r="S90" s="379">
        <f>'8.Routing factors'!S109*'7.Network costs'!$J$104</f>
        <v>0</v>
      </c>
      <c r="T90" s="379">
        <f>'8.Routing factors'!T109*'7.Network costs'!$J$105</f>
        <v>0</v>
      </c>
      <c r="U90" s="379">
        <f>'8.Routing factors'!U109*'7.Network costs'!$J$106</f>
        <v>0</v>
      </c>
      <c r="V90" s="379">
        <f>'8.Routing factors'!V109*'7.Network costs'!$J$107</f>
        <v>0</v>
      </c>
      <c r="W90" s="379">
        <f>'8.Routing factors'!W109*'7.Network costs'!$J$108</f>
        <v>0</v>
      </c>
      <c r="X90" s="104"/>
      <c r="Y90" s="336">
        <f t="shared" si="16"/>
        <v>875753.58716224</v>
      </c>
      <c r="Z90" s="377">
        <f>'2.Traffic'!J56</f>
        <v>40.16501472</v>
      </c>
      <c r="AA90" s="381">
        <f t="shared" si="17"/>
        <v>0.021803890606472556</v>
      </c>
    </row>
    <row r="91" spans="3:27" ht="12.75">
      <c r="C91" s="291" t="str">
        <f>'C. Masterfiles'!C89</f>
        <v>S06</v>
      </c>
      <c r="D91" s="291" t="str">
        <f>'C. Masterfiles'!D89</f>
        <v>Terminating calls (local)</v>
      </c>
      <c r="E91" s="379">
        <f>'8.Routing factors'!E110*'7.Network costs'!$J$90</f>
        <v>144263.96278417364</v>
      </c>
      <c r="F91" s="379">
        <f>'8.Routing factors'!F110*'7.Network costs'!$J$91</f>
        <v>86112.34936462152</v>
      </c>
      <c r="G91" s="379">
        <f>'8.Routing factors'!G110*'7.Network costs'!$J$92</f>
        <v>17214.178987142855</v>
      </c>
      <c r="H91" s="379">
        <f>'8.Routing factors'!H110*'7.Network costs'!$J$93</f>
        <v>0</v>
      </c>
      <c r="I91" s="379">
        <f>'8.Routing factors'!I110*'7.Network costs'!$J$94</f>
        <v>40067.55410413183</v>
      </c>
      <c r="J91" s="379">
        <f>'8.Routing factors'!J110*'7.Network costs'!$J$95</f>
        <v>0</v>
      </c>
      <c r="K91" s="379">
        <f>'8.Routing factors'!K110*'7.Network costs'!$J$96</f>
        <v>0</v>
      </c>
      <c r="L91" s="379">
        <f>'8.Routing factors'!L110*'7.Network costs'!$J$97</f>
        <v>71352.5344143722</v>
      </c>
      <c r="M91" s="379">
        <f>'8.Routing factors'!M110*'7.Network costs'!$J$98</f>
        <v>26324.28578580922</v>
      </c>
      <c r="N91" s="379">
        <f>'8.Routing factors'!N110*'7.Network costs'!$J$99</f>
        <v>16860.72141348288</v>
      </c>
      <c r="O91" s="379">
        <f>'8.Routing factors'!O110*'7.Network costs'!$J$100</f>
        <v>66844.01897625985</v>
      </c>
      <c r="P91" s="379">
        <f>'8.Routing factors'!P110*'7.Network costs'!$J$101</f>
        <v>60963.380764043686</v>
      </c>
      <c r="Q91" s="379">
        <f>'8.Routing factors'!Q110*'7.Network costs'!$J$102</f>
        <v>0</v>
      </c>
      <c r="R91" s="379">
        <f>'8.Routing factors'!R110*'7.Network costs'!$J$103</f>
        <v>0</v>
      </c>
      <c r="S91" s="379">
        <f>'8.Routing factors'!S110*'7.Network costs'!$J$104</f>
        <v>0</v>
      </c>
      <c r="T91" s="379">
        <f>'8.Routing factors'!T110*'7.Network costs'!$J$105</f>
        <v>0</v>
      </c>
      <c r="U91" s="379">
        <f>'8.Routing factors'!U110*'7.Network costs'!$J$106</f>
        <v>0</v>
      </c>
      <c r="V91" s="379">
        <f>'8.Routing factors'!V110*'7.Network costs'!$J$107</f>
        <v>17762.271083074687</v>
      </c>
      <c r="W91" s="379">
        <f>'8.Routing factors'!W110*'7.Network costs'!$J$108</f>
        <v>0</v>
      </c>
      <c r="X91" s="104"/>
      <c r="Y91" s="336">
        <f t="shared" si="16"/>
        <v>530002.9865940376</v>
      </c>
      <c r="Z91" s="377">
        <f>'2.Traffic'!J57</f>
        <v>86.5902606336</v>
      </c>
      <c r="AA91" s="381">
        <f t="shared" si="17"/>
        <v>0.006120815236215818</v>
      </c>
    </row>
    <row r="92" spans="3:27" ht="12.75">
      <c r="C92" s="291" t="str">
        <f>'C. Masterfiles'!C90</f>
        <v>S07</v>
      </c>
      <c r="D92" s="291" t="str">
        <f>'C. Masterfiles'!D90</f>
        <v>Terminating calls (national) </v>
      </c>
      <c r="E92" s="379">
        <f>'8.Routing factors'!E111*'7.Network costs'!$J$90</f>
        <v>163518.64580244536</v>
      </c>
      <c r="F92" s="379">
        <f>'8.Routing factors'!F111*'7.Network costs'!$J$91</f>
        <v>97605.62848280999</v>
      </c>
      <c r="G92" s="379">
        <f>'8.Routing factors'!G111*'7.Network costs'!$J$92</f>
        <v>19511.72823936395</v>
      </c>
      <c r="H92" s="379">
        <f>'8.Routing factors'!H111*'7.Network costs'!$J$93</f>
        <v>45802.15349863739</v>
      </c>
      <c r="I92" s="379">
        <f>'8.Routing factors'!I111*'7.Network costs'!$J$94</f>
        <v>45415.30719993925</v>
      </c>
      <c r="J92" s="379">
        <f>'8.Routing factors'!J111*'7.Network costs'!$J$95</f>
        <v>0</v>
      </c>
      <c r="K92" s="379">
        <f>'8.Routing factors'!K111*'7.Network costs'!$J$96</f>
        <v>0</v>
      </c>
      <c r="L92" s="379">
        <f>'8.Routing factors'!L111*'7.Network costs'!$J$97</f>
        <v>80875.84436776952</v>
      </c>
      <c r="M92" s="379">
        <f>'8.Routing factors'!M111*'7.Network costs'!$J$98</f>
        <v>29837.746588535476</v>
      </c>
      <c r="N92" s="379">
        <f>'8.Routing factors'!N111*'7.Network costs'!$J$99</f>
        <v>19111.095242196356</v>
      </c>
      <c r="O92" s="379">
        <f>'8.Routing factors'!O111*'7.Network costs'!$J$100</f>
        <v>75765.58450250798</v>
      </c>
      <c r="P92" s="379">
        <f>'8.Routing factors'!P111*'7.Network costs'!$J$101</f>
        <v>69100.06680593468</v>
      </c>
      <c r="Q92" s="379">
        <f>'8.Routing factors'!Q111*'7.Network costs'!$J$102</f>
        <v>0</v>
      </c>
      <c r="R92" s="379">
        <f>'8.Routing factors'!R111*'7.Network costs'!$J$103</f>
        <v>1556734.456314541</v>
      </c>
      <c r="S92" s="379">
        <f>'8.Routing factors'!S111*'7.Network costs'!$J$104</f>
        <v>0</v>
      </c>
      <c r="T92" s="379">
        <f>'8.Routing factors'!T111*'7.Network costs'!$J$105</f>
        <v>0</v>
      </c>
      <c r="U92" s="379">
        <f>'8.Routing factors'!U111*'7.Network costs'!$J$106</f>
        <v>0</v>
      </c>
      <c r="V92" s="379">
        <f>'8.Routing factors'!V111*'7.Network costs'!$J$107</f>
        <v>0</v>
      </c>
      <c r="W92" s="379">
        <f>'8.Routing factors'!W111*'7.Network costs'!$J$108</f>
        <v>0</v>
      </c>
      <c r="X92" s="104"/>
      <c r="Y92" s="336">
        <f t="shared" si="16"/>
        <v>2203278.257044681</v>
      </c>
      <c r="Z92" s="377">
        <f>'2.Traffic'!J58</f>
        <v>83.4933848064</v>
      </c>
      <c r="AA92" s="381">
        <f t="shared" si="17"/>
        <v>0.026388656564271827</v>
      </c>
    </row>
    <row r="93" spans="3:27" ht="12.75">
      <c r="C93" s="291" t="str">
        <f>'C. Masterfiles'!C91</f>
        <v>S08</v>
      </c>
      <c r="D93" s="291" t="str">
        <f>'C. Masterfiles'!D91</f>
        <v>Terminating calls (international)</v>
      </c>
      <c r="E93" s="379">
        <f>'8.Routing factors'!E112*'7.Network costs'!$J$90</f>
        <v>504512.2886506269</v>
      </c>
      <c r="F93" s="379">
        <f>'8.Routing factors'!F112*'7.Network costs'!$J$91</f>
        <v>301147.5466262018</v>
      </c>
      <c r="G93" s="379">
        <f>'8.Routing factors'!G112*'7.Network costs'!$J$92</f>
        <v>60200.514878673</v>
      </c>
      <c r="H93" s="379">
        <f>'8.Routing factors'!H112*'7.Network costs'!$J$93</f>
        <v>141315.68405136155</v>
      </c>
      <c r="I93" s="379">
        <f>'8.Routing factors'!I112*'7.Network costs'!$J$94</f>
        <v>0</v>
      </c>
      <c r="J93" s="379">
        <f>'8.Routing factors'!J112*'7.Network costs'!$J$95</f>
        <v>0</v>
      </c>
      <c r="K93" s="379">
        <f>'8.Routing factors'!K112*'7.Network costs'!$J$96</f>
        <v>0</v>
      </c>
      <c r="L93" s="379">
        <f>'8.Routing factors'!L112*'7.Network costs'!$J$97</f>
        <v>249530.30364397212</v>
      </c>
      <c r="M93" s="379">
        <f>'8.Routing factors'!M112*'7.Network costs'!$J$98</f>
        <v>92059.89779138904</v>
      </c>
      <c r="N93" s="379">
        <f>'8.Routing factors'!N112*'7.Network costs'!$J$99</f>
        <v>58964.42177554042</v>
      </c>
      <c r="O93" s="379">
        <f>'8.Routing factors'!O112*'7.Network costs'!$J$100</f>
        <v>233763.36228037137</v>
      </c>
      <c r="P93" s="379">
        <f>'8.Routing factors'!P112*'7.Network costs'!$J$101</f>
        <v>213197.9058357146</v>
      </c>
      <c r="Q93" s="379">
        <f>'8.Routing factors'!Q112*'7.Network costs'!$J$102</f>
        <v>0</v>
      </c>
      <c r="R93" s="379">
        <f>'8.Routing factors'!R112*'7.Network costs'!$J$103</f>
        <v>4803070.986322914</v>
      </c>
      <c r="S93" s="379">
        <f>'8.Routing factors'!S112*'7.Network costs'!$J$104</f>
        <v>0</v>
      </c>
      <c r="T93" s="379">
        <f>'8.Routing factors'!T112*'7.Network costs'!$J$105</f>
        <v>0</v>
      </c>
      <c r="U93" s="379">
        <f>'8.Routing factors'!U112*'7.Network costs'!$J$106</f>
        <v>0</v>
      </c>
      <c r="V93" s="379">
        <f>'8.Routing factors'!V112*'7.Network costs'!$J$107</f>
        <v>0</v>
      </c>
      <c r="W93" s="379">
        <f>'8.Routing factors'!W112*'7.Network costs'!$J$108</f>
        <v>0</v>
      </c>
      <c r="X93" s="104"/>
      <c r="Y93" s="336">
        <f t="shared" si="16"/>
        <v>6657762.911856765</v>
      </c>
      <c r="Z93" s="377">
        <f>'2.Traffic'!J59</f>
        <v>299.080368</v>
      </c>
      <c r="AA93" s="381">
        <f t="shared" si="17"/>
        <v>0.022260782131499735</v>
      </c>
    </row>
    <row r="94" spans="3:27" ht="12.75">
      <c r="C94" s="291" t="str">
        <f>'C. Masterfiles'!C92</f>
        <v>S09</v>
      </c>
      <c r="D94" s="291" t="str">
        <f>'C. Masterfiles'!D92</f>
        <v>Transit calls</v>
      </c>
      <c r="E94" s="379">
        <f>'8.Routing factors'!E113*'7.Network costs'!$J$90</f>
        <v>0</v>
      </c>
      <c r="F94" s="379">
        <f>'8.Routing factors'!F113*'7.Network costs'!$J$91</f>
        <v>0</v>
      </c>
      <c r="G94" s="379">
        <f>'8.Routing factors'!G113*'7.Network costs'!$J$92</f>
        <v>25685.96854528296</v>
      </c>
      <c r="H94" s="379">
        <f>'8.Routing factors'!H113*'7.Network costs'!$J$93</f>
        <v>120591.33456960991</v>
      </c>
      <c r="I94" s="379">
        <f>'8.Routing factors'!I113*'7.Network costs'!$J$94</f>
        <v>119572.81670811436</v>
      </c>
      <c r="J94" s="379">
        <f>'8.Routing factors'!J113*'7.Network costs'!$J$95</f>
        <v>0</v>
      </c>
      <c r="K94" s="379">
        <f>'8.Routing factors'!K113*'7.Network costs'!$J$96</f>
        <v>0</v>
      </c>
      <c r="L94" s="379">
        <f>'8.Routing factors'!L113*'7.Network costs'!$J$97</f>
        <v>106467.98525579747</v>
      </c>
      <c r="M94" s="379">
        <f>'8.Routing factors'!M113*'7.Network costs'!$J$98</f>
        <v>39279.525162156</v>
      </c>
      <c r="N94" s="379">
        <f>'8.Routing factors'!N113*'7.Network costs'!$J$99</f>
        <v>25158.560289222467</v>
      </c>
      <c r="O94" s="379">
        <f>'8.Routing factors'!O113*'7.Network costs'!$J$100</f>
        <v>0</v>
      </c>
      <c r="P94" s="379">
        <f>'8.Routing factors'!P113*'7.Network costs'!$J$101</f>
        <v>0</v>
      </c>
      <c r="Q94" s="379">
        <f>'8.Routing factors'!Q113*'7.Network costs'!$J$102</f>
        <v>0</v>
      </c>
      <c r="R94" s="379">
        <f>'8.Routing factors'!R113*'7.Network costs'!$J$103</f>
        <v>2049343.440402333</v>
      </c>
      <c r="S94" s="379">
        <f>'8.Routing factors'!S113*'7.Network costs'!$J$104</f>
        <v>433849.1333419173</v>
      </c>
      <c r="T94" s="379">
        <f>'8.Routing factors'!T113*'7.Network costs'!$J$105</f>
        <v>0</v>
      </c>
      <c r="U94" s="379">
        <f>'8.Routing factors'!U113*'7.Network costs'!$J$106</f>
        <v>0</v>
      </c>
      <c r="V94" s="379">
        <f>'8.Routing factors'!V113*'7.Network costs'!$J$107</f>
        <v>26503.7987971084</v>
      </c>
      <c r="W94" s="379">
        <f>'8.Routing factors'!W113*'7.Network costs'!$J$108</f>
        <v>0</v>
      </c>
      <c r="X94" s="104"/>
      <c r="Y94" s="336">
        <f t="shared" si="16"/>
        <v>2919948.7642744333</v>
      </c>
      <c r="Z94" s="377">
        <f>'2.Traffic'!J60</f>
        <v>119.63408256</v>
      </c>
      <c r="AA94" s="381">
        <f t="shared" si="17"/>
        <v>0.024407331939123564</v>
      </c>
    </row>
    <row r="95" spans="3:27" ht="12.75">
      <c r="C95" s="291" t="str">
        <f>'C. Masterfiles'!C93</f>
        <v>S10</v>
      </c>
      <c r="D95" s="291" t="str">
        <f>'C. Masterfiles'!D93</f>
        <v>Calls to directory enquiries, emergency &amp; helpdesk</v>
      </c>
      <c r="E95" s="379">
        <f>'8.Routing factors'!E114*'7.Network costs'!$J$90</f>
        <v>4711.245491385585</v>
      </c>
      <c r="F95" s="379">
        <f>'8.Routing factors'!F114*'7.Network costs'!$J$91</f>
        <v>2812.1812950863996</v>
      </c>
      <c r="G95" s="379">
        <f>'8.Routing factors'!G114*'7.Network costs'!$J$92</f>
        <v>562.165502568451</v>
      </c>
      <c r="H95" s="379">
        <f>'8.Routing factors'!H114*'7.Network costs'!$J$93</f>
        <v>1319.6365962258901</v>
      </c>
      <c r="I95" s="379">
        <f>'8.Routing factors'!I114*'7.Network costs'!$J$94</f>
        <v>0</v>
      </c>
      <c r="J95" s="379">
        <f>'8.Routing factors'!J114*'7.Network costs'!$J$95</f>
        <v>1373076.5378678038</v>
      </c>
      <c r="K95" s="379">
        <f>'8.Routing factors'!K114*'7.Network costs'!$J$96</f>
        <v>1054.1261779453757</v>
      </c>
      <c r="L95" s="379">
        <f>'8.Routing factors'!L114*'7.Network costs'!$J$97</f>
        <v>0</v>
      </c>
      <c r="M95" s="379">
        <f>'8.Routing factors'!M114*'7.Network costs'!$J$98</f>
        <v>859.6753501626735</v>
      </c>
      <c r="N95" s="379">
        <f>'8.Routing factors'!N114*'7.Network costs'!$J$99</f>
        <v>550.6225963002173</v>
      </c>
      <c r="O95" s="379">
        <f>'8.Routing factors'!O114*'7.Network costs'!$J$100</f>
        <v>2182.9331244638774</v>
      </c>
      <c r="P95" s="379">
        <f>'8.Routing factors'!P114*'7.Network costs'!$J$101</f>
        <v>1990.8884188486472</v>
      </c>
      <c r="Q95" s="379">
        <f>'8.Routing factors'!Q114*'7.Network costs'!$J$102</f>
        <v>0</v>
      </c>
      <c r="R95" s="379">
        <f>'8.Routing factors'!R114*'7.Network costs'!$J$103</f>
        <v>44852.121619556565</v>
      </c>
      <c r="S95" s="379">
        <f>'8.Routing factors'!S114*'7.Network costs'!$J$104</f>
        <v>0</v>
      </c>
      <c r="T95" s="379">
        <f>'8.Routing factors'!T114*'7.Network costs'!$J$105</f>
        <v>1586.5664290072923</v>
      </c>
      <c r="U95" s="379">
        <f>'8.Routing factors'!U114*'7.Network costs'!$J$106</f>
        <v>2961.5906674802786</v>
      </c>
      <c r="V95" s="379">
        <f>'8.Routing factors'!V114*'7.Network costs'!$J$107</f>
        <v>0</v>
      </c>
      <c r="W95" s="379">
        <f>'8.Routing factors'!W114*'7.Network costs'!$J$108</f>
        <v>0</v>
      </c>
      <c r="X95" s="104"/>
      <c r="Y95" s="336">
        <f t="shared" si="16"/>
        <v>1435558.7004693546</v>
      </c>
      <c r="Z95" s="377">
        <f>'2.Traffic'!J61</f>
        <v>2.44376784</v>
      </c>
      <c r="AA95" s="381">
        <f t="shared" si="17"/>
        <v>0.5874366120103105</v>
      </c>
    </row>
    <row r="96" spans="3:27" ht="12.75">
      <c r="C96" s="291" t="str">
        <f>'C. Masterfiles'!C94</f>
        <v>S11</v>
      </c>
      <c r="D96" s="291" t="str">
        <f>'C. Masterfiles'!D94</f>
        <v>Calls to non-geographic numbers</v>
      </c>
      <c r="E96" s="379">
        <f>'8.Routing factors'!E115*'7.Network costs'!$J$90</f>
        <v>2263.982853675103</v>
      </c>
      <c r="F96" s="379">
        <f>'8.Routing factors'!F115*'7.Network costs'!$J$91</f>
        <v>1351.3900400951059</v>
      </c>
      <c r="G96" s="379">
        <f>'8.Routing factors'!G115*'7.Network costs'!$J$92</f>
        <v>270.1478963619675</v>
      </c>
      <c r="H96" s="379">
        <f>'8.Routing factors'!H115*'7.Network costs'!$J$93</f>
        <v>634.1496388588575</v>
      </c>
      <c r="I96" s="379">
        <f>'8.Routing factors'!I115*'7.Network costs'!$J$94</f>
        <v>0</v>
      </c>
      <c r="J96" s="379">
        <f>'8.Routing factors'!J115*'7.Network costs'!$J$95</f>
        <v>659830.1328598416</v>
      </c>
      <c r="K96" s="379">
        <f>'8.Routing factors'!K115*'7.Network costs'!$J$96</f>
        <v>506.5589549179956</v>
      </c>
      <c r="L96" s="379">
        <f>'8.Routing factors'!L115*'7.Network costs'!$J$97</f>
        <v>0</v>
      </c>
      <c r="M96" s="379">
        <f>'8.Routing factors'!M115*'7.Network costs'!$J$98</f>
        <v>413.1158641709892</v>
      </c>
      <c r="N96" s="379">
        <f>'8.Routing factors'!N115*'7.Network costs'!$J$99</f>
        <v>264.6009678648974</v>
      </c>
      <c r="O96" s="379">
        <f>'8.Routing factors'!O115*'7.Network costs'!$J$100</f>
        <v>1049.005655413671</v>
      </c>
      <c r="P96" s="379">
        <f>'8.Routing factors'!P115*'7.Network costs'!$J$101</f>
        <v>956.7188235245324</v>
      </c>
      <c r="Q96" s="379">
        <f>'8.Routing factors'!Q115*'7.Network costs'!$J$102</f>
        <v>0</v>
      </c>
      <c r="R96" s="379">
        <f>'8.Routing factors'!R115*'7.Network costs'!$J$103</f>
        <v>21553.62833104289</v>
      </c>
      <c r="S96" s="379">
        <f>'8.Routing factors'!S115*'7.Network costs'!$J$104</f>
        <v>0</v>
      </c>
      <c r="T96" s="379">
        <f>'8.Routing factors'!T115*'7.Network costs'!$J$105</f>
        <v>762.4224205800504</v>
      </c>
      <c r="U96" s="379">
        <f>'8.Routing factors'!U115*'7.Network costs'!$J$106</f>
        <v>1423.1885184160938</v>
      </c>
      <c r="V96" s="379">
        <f>'8.Routing factors'!V115*'7.Network costs'!$J$107</f>
        <v>0</v>
      </c>
      <c r="W96" s="379">
        <f>'8.Routing factors'!W115*'7.Network costs'!$J$108</f>
        <v>0</v>
      </c>
      <c r="X96" s="104"/>
      <c r="Y96" s="336">
        <f t="shared" si="16"/>
        <v>689855.8543063477</v>
      </c>
      <c r="Z96" s="377">
        <f>'2.Traffic'!J62</f>
        <v>1.32461676144</v>
      </c>
      <c r="AA96" s="381">
        <f t="shared" si="17"/>
        <v>0.5207965612305862</v>
      </c>
    </row>
    <row r="97" spans="3:27" ht="12.75">
      <c r="C97" s="291" t="str">
        <f>'C. Masterfiles'!C95</f>
        <v>S12</v>
      </c>
      <c r="D97" s="291" t="str">
        <f>'C. Masterfiles'!D95</f>
        <v>Internet dial-up calls</v>
      </c>
      <c r="E97" s="379">
        <f>'8.Routing factors'!E116*'7.Network costs'!$J$90</f>
        <v>25957.68602685518</v>
      </c>
      <c r="F97" s="379">
        <f>'8.Routing factors'!F116*'7.Network costs'!$J$91</f>
        <v>15494.356904543087</v>
      </c>
      <c r="G97" s="379">
        <f>'8.Routing factors'!G116*'7.Network costs'!$J$92</f>
        <v>3097.379586243852</v>
      </c>
      <c r="H97" s="379">
        <f>'8.Routing factors'!H116*'7.Network costs'!$J$93</f>
        <v>7270.840056416831</v>
      </c>
      <c r="I97" s="379">
        <f>'8.Routing factors'!I116*'7.Network costs'!$J$94</f>
        <v>0</v>
      </c>
      <c r="J97" s="379">
        <f>'8.Routing factors'!J116*'7.Network costs'!$J$95</f>
        <v>0</v>
      </c>
      <c r="K97" s="379">
        <f>'8.Routing factors'!K116*'7.Network costs'!$J$96</f>
        <v>5807.949598429337</v>
      </c>
      <c r="L97" s="379">
        <f>'8.Routing factors'!L116*'7.Network costs'!$J$97</f>
        <v>0</v>
      </c>
      <c r="M97" s="379">
        <f>'8.Routing factors'!M116*'7.Network costs'!$J$98</f>
        <v>4736.578228698188</v>
      </c>
      <c r="N97" s="379">
        <f>'8.Routing factors'!N116*'7.Network costs'!$J$99</f>
        <v>3033.781300547195</v>
      </c>
      <c r="O97" s="379">
        <f>'8.Routing factors'!O116*'7.Network costs'!$J$100</f>
        <v>12027.369995060557</v>
      </c>
      <c r="P97" s="379">
        <f>'8.Routing factors'!P116*'7.Network costs'!$J$101</f>
        <v>10969.255706472748</v>
      </c>
      <c r="Q97" s="379">
        <f>'8.Routing factors'!Q116*'7.Network costs'!$J$102</f>
        <v>0</v>
      </c>
      <c r="R97" s="379">
        <f>'8.Routing factors'!R116*'7.Network costs'!$J$103</f>
        <v>247123.03631122445</v>
      </c>
      <c r="S97" s="379">
        <f>'8.Routing factors'!S116*'7.Network costs'!$J$104</f>
        <v>0</v>
      </c>
      <c r="T97" s="379">
        <f>'8.Routing factors'!T116*'7.Network costs'!$J$105</f>
        <v>0</v>
      </c>
      <c r="U97" s="379">
        <f>'8.Routing factors'!U116*'7.Network costs'!$J$106</f>
        <v>0</v>
      </c>
      <c r="V97" s="379">
        <f>'8.Routing factors'!V116*'7.Network costs'!$J$107</f>
        <v>0</v>
      </c>
      <c r="W97" s="379">
        <f>'8.Routing factors'!W116*'7.Network costs'!$J$108</f>
        <v>0</v>
      </c>
      <c r="X97" s="104"/>
      <c r="Y97" s="336">
        <f t="shared" si="16"/>
        <v>335518.2337144914</v>
      </c>
      <c r="Z97" s="377">
        <f>'2.Traffic'!J63</f>
        <v>16.93516128</v>
      </c>
      <c r="AA97" s="381">
        <f t="shared" si="17"/>
        <v>0.019811930230078767</v>
      </c>
    </row>
    <row r="98" spans="3:27" ht="12.75">
      <c r="C98" s="90"/>
      <c r="D98" s="90" t="s">
        <v>635</v>
      </c>
      <c r="E98" s="380">
        <f aca="true" t="shared" si="18" ref="E98:U98">SUM(E86:E97)</f>
        <v>9598029.771391867</v>
      </c>
      <c r="F98" s="380">
        <f t="shared" si="18"/>
        <v>5729143.141053428</v>
      </c>
      <c r="G98" s="380">
        <f t="shared" si="18"/>
        <v>944006.5402872122</v>
      </c>
      <c r="H98" s="380">
        <f t="shared" si="18"/>
        <v>651038.9933015257</v>
      </c>
      <c r="I98" s="380">
        <f t="shared" si="18"/>
        <v>260415.59732061025</v>
      </c>
      <c r="J98" s="380">
        <f t="shared" si="18"/>
        <v>2032906.6707276455</v>
      </c>
      <c r="K98" s="380">
        <f t="shared" si="18"/>
        <v>1016453.3353638228</v>
      </c>
      <c r="L98" s="380">
        <f t="shared" si="18"/>
        <v>508226.6676819113</v>
      </c>
      <c r="M98" s="380">
        <f t="shared" si="18"/>
        <v>1016453.3353638228</v>
      </c>
      <c r="N98" s="380">
        <f t="shared" si="18"/>
        <v>651038.9933015258</v>
      </c>
      <c r="O98" s="380">
        <f t="shared" si="18"/>
        <v>4243871.174772461</v>
      </c>
      <c r="P98" s="380">
        <f t="shared" si="18"/>
        <v>3870514.3452414125</v>
      </c>
      <c r="Q98" s="380">
        <f t="shared" si="18"/>
        <v>12667627.06805462</v>
      </c>
      <c r="R98" s="380">
        <f t="shared" si="18"/>
        <v>25927199.32620525</v>
      </c>
      <c r="S98" s="380">
        <f t="shared" si="18"/>
        <v>610737.100892709</v>
      </c>
      <c r="T98" s="380">
        <f t="shared" si="18"/>
        <v>2348.988849587343</v>
      </c>
      <c r="U98" s="380">
        <f t="shared" si="18"/>
        <v>4384.779185896372</v>
      </c>
      <c r="V98" s="380">
        <f>SUM(V86:V97)</f>
        <v>56380.29353349347</v>
      </c>
      <c r="W98" s="380">
        <f>SUM(W86:W97)</f>
        <v>23269.083544012214</v>
      </c>
      <c r="X98" s="55"/>
      <c r="Y98" s="380">
        <f>SUM(Y86:Y97)</f>
        <v>69730011.04980943</v>
      </c>
      <c r="Z98" s="157"/>
      <c r="AA98" s="157"/>
    </row>
    <row r="99" spans="3:27" ht="12.75">
      <c r="C99" s="83"/>
      <c r="D99" s="102"/>
      <c r="E99" s="223" t="str">
        <f>IF(ROUND(E98,0)=ROUND('7.Network costs'!$J$90,0),"Ok","Not ok")</f>
        <v>Ok</v>
      </c>
      <c r="F99" s="223" t="str">
        <f>IF(ROUND(F98,0)=ROUND('7.Network costs'!$J$91,0),"Ok","Not ok")</f>
        <v>Ok</v>
      </c>
      <c r="G99" s="223" t="str">
        <f>IF(ROUND(G98,0)=ROUND('7.Network costs'!$J$92,0),"Ok","Not ok")</f>
        <v>Ok</v>
      </c>
      <c r="H99" s="223" t="str">
        <f>IF(ROUND(H98,0)=ROUND('7.Network costs'!$J$93,0),"Ok","Not ok")</f>
        <v>Ok</v>
      </c>
      <c r="I99" s="223" t="str">
        <f>IF(ROUND(I98,0)=ROUND('7.Network costs'!$J$94,0),"Ok","Not ok")</f>
        <v>Ok</v>
      </c>
      <c r="J99" s="223" t="str">
        <f>IF(ROUND(J98,0)=ROUND('7.Network costs'!$J$95,0),"Ok","Not ok")</f>
        <v>Ok</v>
      </c>
      <c r="K99" s="223" t="str">
        <f>IF(ROUND(K98,0)=ROUND('7.Network costs'!$J$96,0),"Ok","Not ok")</f>
        <v>Ok</v>
      </c>
      <c r="L99" s="223" t="str">
        <f>IF(ROUND(L98,0)=ROUND('7.Network costs'!$J$97,0),"Ok","Not ok")</f>
        <v>Ok</v>
      </c>
      <c r="M99" s="223" t="str">
        <f>IF(ROUND(M98,0)=ROUND('7.Network costs'!$J$98,0),"Ok","Not ok")</f>
        <v>Ok</v>
      </c>
      <c r="N99" s="223" t="str">
        <f>IF(ROUND(N98,0)=ROUND('7.Network costs'!$J$99,0),"Ok","Not ok")</f>
        <v>Ok</v>
      </c>
      <c r="O99" s="223" t="str">
        <f>IF(ROUND(O98,0)=ROUND('7.Network costs'!$J$100,0),"Ok","Not ok")</f>
        <v>Ok</v>
      </c>
      <c r="P99" s="223" t="str">
        <f>IF(ROUND(P98,0)=ROUND('7.Network costs'!$J$101,0),"Ok","Not ok")</f>
        <v>Ok</v>
      </c>
      <c r="Q99" s="223" t="str">
        <f>IF(ROUND(Q98,0)=ROUND('7.Network costs'!$J$102,0),"Ok","Not ok")</f>
        <v>Ok</v>
      </c>
      <c r="R99" s="223" t="str">
        <f>IF(ROUND(R98,0)=ROUND('7.Network costs'!$J$103,0),"Ok","Not ok")</f>
        <v>Ok</v>
      </c>
      <c r="S99" s="223" t="str">
        <f>IF(ROUND(S98,0)=ROUND('7.Network costs'!$J$104,0),"Ok","Not ok")</f>
        <v>Ok</v>
      </c>
      <c r="T99" s="223" t="str">
        <f>IF(ROUND(T98,0)=ROUND('7.Network costs'!$J$105,0),"Ok","Not ok")</f>
        <v>Ok</v>
      </c>
      <c r="U99" s="223" t="str">
        <f>IF(ROUND(U98,0)=ROUND('7.Network costs'!$J$106,0),"Ok","Not ok")</f>
        <v>Ok</v>
      </c>
      <c r="V99" s="223" t="str">
        <f>IF(ROUND(V98,0)=ROUND('7.Network costs'!$J$107,0),"Ok","Not ok")</f>
        <v>Ok</v>
      </c>
      <c r="W99" s="223" t="str">
        <f>IF(ROUND(W98,0)=ROUND('7.Network costs'!$J$108,0),"Ok","Not ok")</f>
        <v>Ok</v>
      </c>
      <c r="X99" s="83"/>
      <c r="Y99" s="223" t="str">
        <f>IF(ROUND(Y98,0)=ROUND('7.Network costs'!$F$109,0),"Ok","Not ok")</f>
        <v>Not ok</v>
      </c>
      <c r="Z99" s="228"/>
      <c r="AA99" s="83"/>
    </row>
  </sheetData>
  <sheetProtection/>
  <conditionalFormatting sqref="C2: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AC61"/>
  <sheetViews>
    <sheetView zoomScale="145" zoomScaleNormal="145" zoomScalePageLayoutView="0" workbookViewId="0" topLeftCell="B1">
      <selection activeCell="D10" sqref="D10"/>
    </sheetView>
  </sheetViews>
  <sheetFormatPr defaultColWidth="9.140625" defaultRowHeight="12.75"/>
  <cols>
    <col min="1" max="1" width="6.57421875" style="1" customWidth="1"/>
    <col min="2" max="2" width="15.7109375" style="54" customWidth="1"/>
    <col min="3" max="3" width="46.7109375" style="1" customWidth="1"/>
    <col min="4" max="4" width="16.7109375" style="1" customWidth="1"/>
    <col min="5" max="5" width="15.140625" style="1" customWidth="1"/>
    <col min="6" max="10" width="13.00390625" style="1" customWidth="1"/>
    <col min="11" max="13" width="14.8515625" style="1" customWidth="1"/>
    <col min="14" max="14" width="14.7109375" style="1" customWidth="1"/>
    <col min="15" max="16384" width="9.140625" style="1" customWidth="1"/>
  </cols>
  <sheetData>
    <row r="1" spans="1:12" s="277" customFormat="1" ht="23.25">
      <c r="A1" s="275">
        <v>10</v>
      </c>
      <c r="B1" s="276" t="s">
        <v>577</v>
      </c>
      <c r="D1" s="276"/>
      <c r="E1" s="278"/>
      <c r="F1" s="279"/>
      <c r="G1" s="279"/>
      <c r="H1" s="279"/>
      <c r="I1" s="279"/>
      <c r="J1" s="279"/>
      <c r="K1" s="279"/>
      <c r="L1" s="279"/>
    </row>
    <row r="2" ht="12.75">
      <c r="C2" s="126"/>
    </row>
    <row r="3" spans="2:7" ht="12.75">
      <c r="B3" s="598" t="s">
        <v>247</v>
      </c>
      <c r="C3" s="257" t="s">
        <v>323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173</v>
      </c>
      <c r="D5" s="324"/>
      <c r="E5" s="324"/>
      <c r="F5" s="324"/>
      <c r="G5" s="324"/>
    </row>
    <row r="6" spans="2:7" ht="12.75">
      <c r="B6" s="600"/>
      <c r="C6" s="323" t="s">
        <v>174</v>
      </c>
      <c r="D6" s="324"/>
      <c r="E6" s="324"/>
      <c r="F6" s="324"/>
      <c r="G6" s="324"/>
    </row>
    <row r="7" spans="2:7" ht="12.75">
      <c r="B7" s="601" t="s">
        <v>252</v>
      </c>
      <c r="C7" s="258" t="s">
        <v>324</v>
      </c>
      <c r="D7" s="281"/>
      <c r="E7" s="281"/>
      <c r="F7" s="281"/>
      <c r="G7" s="281"/>
    </row>
    <row r="8" spans="2:7" ht="12.75">
      <c r="B8" s="602" t="s">
        <v>254</v>
      </c>
      <c r="C8" s="259" t="s">
        <v>175</v>
      </c>
      <c r="D8" s="255"/>
      <c r="E8" s="255"/>
      <c r="F8" s="255"/>
      <c r="G8" s="255"/>
    </row>
    <row r="9" ht="12.75">
      <c r="F9" s="245"/>
    </row>
    <row r="10" spans="1:29" ht="15.75">
      <c r="A10" s="28"/>
      <c r="B10" s="267">
        <f>A1+0.01</f>
        <v>10.01</v>
      </c>
      <c r="C10" s="29" t="s">
        <v>791</v>
      </c>
      <c r="D10" s="29"/>
      <c r="E10" s="28"/>
      <c r="F10" s="30"/>
      <c r="G10" s="30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28"/>
      <c r="Z10" s="28"/>
      <c r="AA10" s="28"/>
      <c r="AB10" s="28"/>
      <c r="AC10" s="28"/>
    </row>
    <row r="12" spans="3:10" ht="12.75">
      <c r="C12" s="90" t="s">
        <v>608</v>
      </c>
      <c r="D12" s="90"/>
      <c r="E12" s="92">
        <f>F12-1</f>
        <v>2007</v>
      </c>
      <c r="F12" s="92">
        <f>'C. Masterfiles'!E$99</f>
        <v>2008</v>
      </c>
      <c r="G12" s="92">
        <f>'C. Masterfiles'!F$99</f>
        <v>2009</v>
      </c>
      <c r="H12" s="92">
        <f>'C. Masterfiles'!G$99</f>
        <v>2010</v>
      </c>
      <c r="I12" s="92">
        <f>'C. Masterfiles'!H$99</f>
        <v>2011</v>
      </c>
      <c r="J12" s="92">
        <f>'C. Masterfiles'!I$99</f>
        <v>2012</v>
      </c>
    </row>
    <row r="13" spans="3:10" ht="12.75">
      <c r="C13" s="10" t="s">
        <v>607</v>
      </c>
      <c r="D13" s="10"/>
      <c r="E13" s="355">
        <f>F13*F13/G13</f>
        <v>1026439.0067839164</v>
      </c>
      <c r="F13" s="354">
        <f>'1.Subscribers'!G200</f>
        <v>1056850</v>
      </c>
      <c r="G13" s="354">
        <f>'1.Subscribers'!H200</f>
        <v>1088162</v>
      </c>
      <c r="H13" s="354">
        <f>'1.Subscribers'!I200</f>
        <v>1110298</v>
      </c>
      <c r="I13" s="354">
        <f>'1.Subscribers'!J200</f>
        <v>1133586.333549325</v>
      </c>
      <c r="J13" s="354">
        <f>'1.Subscribers'!K200</f>
        <v>1158024.2804381044</v>
      </c>
    </row>
    <row r="14" spans="3:10" ht="12.75">
      <c r="C14" s="10" t="s">
        <v>609</v>
      </c>
      <c r="D14" s="10"/>
      <c r="E14" s="155"/>
      <c r="F14" s="388">
        <f>F13/E13-1</f>
        <v>0.029627667124000556</v>
      </c>
      <c r="G14" s="388">
        <f>G13/F13-1</f>
        <v>0.029627667124000556</v>
      </c>
      <c r="H14" s="388">
        <f>H13/G13-1</f>
        <v>0.02034255928804729</v>
      </c>
      <c r="I14" s="388">
        <f>I13/H13-1</f>
        <v>0.02097484958932183</v>
      </c>
      <c r="J14" s="388">
        <f>J13/I13-1</f>
        <v>0.021558081784792682</v>
      </c>
    </row>
    <row r="17" spans="3:10" ht="12.75">
      <c r="C17" s="90" t="s">
        <v>830</v>
      </c>
      <c r="D17" s="90"/>
      <c r="E17" s="92" t="s">
        <v>652</v>
      </c>
      <c r="F17" s="92">
        <f>'C. Masterfiles'!E$99</f>
        <v>2008</v>
      </c>
      <c r="G17" s="92">
        <f>'C. Masterfiles'!F$99</f>
        <v>2009</v>
      </c>
      <c r="H17" s="92">
        <f>'C. Masterfiles'!G$99</f>
        <v>2010</v>
      </c>
      <c r="I17" s="92">
        <f>'C. Masterfiles'!H$99</f>
        <v>2011</v>
      </c>
      <c r="J17" s="92">
        <f>'C. Masterfiles'!I$99</f>
        <v>2012</v>
      </c>
    </row>
    <row r="18" spans="3:10" ht="12.75">
      <c r="C18" s="93" t="s">
        <v>23</v>
      </c>
      <c r="D18" s="10"/>
      <c r="E18" s="84" t="str">
        <f>'C. Masterfiles'!$D$110</f>
        <v>Euro</v>
      </c>
      <c r="F18" s="354">
        <f>'7.Network costs'!F109</f>
        <v>101988952.2458267</v>
      </c>
      <c r="G18" s="354">
        <f>'7.Network costs'!G109</f>
        <v>91096918.75198925</v>
      </c>
      <c r="H18" s="354">
        <f>'7.Network costs'!H109</f>
        <v>83606463.6242036</v>
      </c>
      <c r="I18" s="354">
        <f>'7.Network costs'!I109</f>
        <v>76701244.41716827</v>
      </c>
      <c r="J18" s="354">
        <f>'7.Network costs'!J109</f>
        <v>69730011.0498094</v>
      </c>
    </row>
    <row r="19" spans="3:10" ht="12.75">
      <c r="C19" s="10" t="s">
        <v>820</v>
      </c>
      <c r="D19" s="10"/>
      <c r="E19" s="84" t="str">
        <f>'C. Masterfiles'!$D$110</f>
        <v>Euro</v>
      </c>
      <c r="F19" s="355">
        <f>G19/(1+F$14)</f>
        <v>884755.9332437619</v>
      </c>
      <c r="G19" s="354">
        <f>G18*'4. Operational expenditure'!E60</f>
        <v>910969.1875198925</v>
      </c>
      <c r="H19" s="355">
        <f>G19*(1+H$14)</f>
        <v>929500.6322266002</v>
      </c>
      <c r="I19" s="355">
        <f>H19*(1+I$14)</f>
        <v>948996.7681807327</v>
      </c>
      <c r="J19" s="355">
        <f>I19*(1+J$14)</f>
        <v>969455.3181226769</v>
      </c>
    </row>
    <row r="20" spans="3:10" ht="12.75">
      <c r="C20" s="10" t="s">
        <v>821</v>
      </c>
      <c r="D20" s="10"/>
      <c r="E20" s="84" t="str">
        <f>'C. Masterfiles'!$D$110</f>
        <v>Euro</v>
      </c>
      <c r="F20" s="355">
        <f>SUM(F18:F19)</f>
        <v>102873708.17907047</v>
      </c>
      <c r="G20" s="355">
        <f>SUM(G18:G19)</f>
        <v>92007887.93950914</v>
      </c>
      <c r="H20" s="355">
        <f>SUM(H18:H19)</f>
        <v>84535964.25643021</v>
      </c>
      <c r="I20" s="355">
        <f>SUM(I18:I19)</f>
        <v>77650241.185349</v>
      </c>
      <c r="J20" s="355">
        <f>SUM(J18:J19)</f>
        <v>70699466.36793207</v>
      </c>
    </row>
    <row r="21" spans="3:10" ht="12.75">
      <c r="C21" s="10" t="s">
        <v>824</v>
      </c>
      <c r="D21" s="10"/>
      <c r="E21" s="84" t="str">
        <f>'C. Masterfiles'!$D$110</f>
        <v>Euro</v>
      </c>
      <c r="F21" s="355">
        <f>G21/(1+F$14)</f>
        <v>7148827.940609596</v>
      </c>
      <c r="G21" s="354">
        <f>G20*'4. Operational expenditure'!E62</f>
        <v>7360631.0351607315</v>
      </c>
      <c r="H21" s="355">
        <f>G21*(1+H$14)</f>
        <v>7510365.108390929</v>
      </c>
      <c r="I21" s="355">
        <f>H21*(1+I$14)</f>
        <v>7667893.88690032</v>
      </c>
      <c r="J21" s="355">
        <f>I21*(1+J$14)</f>
        <v>7833198.970431229</v>
      </c>
    </row>
    <row r="22" spans="3:10" ht="12.75">
      <c r="C22" s="10" t="s">
        <v>822</v>
      </c>
      <c r="D22" s="10"/>
      <c r="E22" s="84" t="str">
        <f>'C. Masterfiles'!$D$110</f>
        <v>Euro</v>
      </c>
      <c r="F22" s="355">
        <f>SUM(F20:F21)</f>
        <v>110022536.11968006</v>
      </c>
      <c r="G22" s="355">
        <f>SUM(G20:G21)</f>
        <v>99368518.97466987</v>
      </c>
      <c r="H22" s="355">
        <f>SUM(H20:H21)</f>
        <v>92046329.36482114</v>
      </c>
      <c r="I22" s="355">
        <f>SUM(I20:I21)</f>
        <v>85318135.07224932</v>
      </c>
      <c r="J22" s="355">
        <f>SUM(J20:J21)</f>
        <v>78532665.33836329</v>
      </c>
    </row>
    <row r="23" spans="3:10" ht="12.75">
      <c r="C23" s="10" t="s">
        <v>823</v>
      </c>
      <c r="D23" s="10"/>
      <c r="E23" s="84" t="s">
        <v>601</v>
      </c>
      <c r="F23" s="389">
        <f>F19/F18</f>
        <v>0.008675017379443324</v>
      </c>
      <c r="G23" s="389">
        <f>G19/G18</f>
        <v>0.01</v>
      </c>
      <c r="H23" s="389">
        <f>H19/H18</f>
        <v>0.011117569048303999</v>
      </c>
      <c r="I23" s="389">
        <f>I19/I18</f>
        <v>0.012372638480534428</v>
      </c>
      <c r="J23" s="389">
        <f>J19/J18</f>
        <v>0.0139029852932359</v>
      </c>
    </row>
    <row r="24" spans="3:10" ht="12.75">
      <c r="C24" s="10" t="s">
        <v>825</v>
      </c>
      <c r="D24" s="10"/>
      <c r="E24" s="84" t="s">
        <v>601</v>
      </c>
      <c r="F24" s="389">
        <f>F21/F20</f>
        <v>0.06949130217184118</v>
      </c>
      <c r="G24" s="389">
        <f>G21/G20</f>
        <v>0.08</v>
      </c>
      <c r="H24" s="389">
        <f>H21/H20</f>
        <v>0.0888422480828289</v>
      </c>
      <c r="I24" s="389">
        <f>I21/I20</f>
        <v>0.0987491316169549</v>
      </c>
      <c r="J24" s="389">
        <f>J21/J20</f>
        <v>0.1107957297678306</v>
      </c>
    </row>
    <row r="25" spans="3:10" ht="12.75">
      <c r="C25" s="10" t="s">
        <v>610</v>
      </c>
      <c r="D25" s="10"/>
      <c r="E25" s="84" t="str">
        <f>'C. Masterfiles'!$D$110</f>
        <v>Euro</v>
      </c>
      <c r="F25" s="355">
        <f>F18*'4. Operational expenditure'!$E63*40/365</f>
        <v>1746363.814849967</v>
      </c>
      <c r="G25" s="355">
        <f>G18*'4. Operational expenditure'!$E63*40/365</f>
        <v>1559858.7793052967</v>
      </c>
      <c r="H25" s="355">
        <f>H18*'4. Operational expenditure'!$E63*40/365</f>
        <v>1431599.2031073512</v>
      </c>
      <c r="I25" s="355">
        <f>I18*'4. Operational expenditure'!$E63*40/365</f>
        <v>1313360.6616650652</v>
      </c>
      <c r="J25" s="355">
        <f>J18*'4. Operational expenditure'!$E63*40/365</f>
        <v>1193991.7552340417</v>
      </c>
    </row>
    <row r="26" spans="3:10" ht="12.75">
      <c r="C26" s="10" t="s">
        <v>611</v>
      </c>
      <c r="D26" s="10"/>
      <c r="E26" s="84" t="s">
        <v>601</v>
      </c>
      <c r="F26" s="388">
        <f>F25/(F18*(1+F23)*(1+F24))</f>
        <v>0.015872782762890607</v>
      </c>
      <c r="G26" s="388">
        <f>G25/(G18*(1+G23)*(1+G24))</f>
        <v>0.01569771589031051</v>
      </c>
      <c r="H26" s="388">
        <f>H25/(H18*(1+H23)*(1+H24))</f>
        <v>0.015553028708328798</v>
      </c>
      <c r="I26" s="388">
        <f>I25/(I18*(1+I23)*(1+I24))</f>
        <v>0.015393686940682442</v>
      </c>
      <c r="J26" s="388">
        <f>J25/(J18*(1+J23)*(1+J24))</f>
        <v>0.015203759481352726</v>
      </c>
    </row>
    <row r="28" spans="3:10" ht="12.75">
      <c r="C28" s="90" t="s">
        <v>612</v>
      </c>
      <c r="D28" s="90"/>
      <c r="E28" s="92" t="s">
        <v>652</v>
      </c>
      <c r="F28" s="92">
        <f>'C. Masterfiles'!E$99</f>
        <v>2008</v>
      </c>
      <c r="G28" s="92">
        <f>'C. Masterfiles'!F$99</f>
        <v>2009</v>
      </c>
      <c r="H28" s="92">
        <f>'C. Masterfiles'!G$99</f>
        <v>2010</v>
      </c>
      <c r="I28" s="92">
        <f>'C. Masterfiles'!H$99</f>
        <v>2011</v>
      </c>
      <c r="J28" s="92">
        <f>'C. Masterfiles'!I$99</f>
        <v>2012</v>
      </c>
    </row>
    <row r="29" spans="3:10" ht="12.75">
      <c r="C29" s="10" t="s">
        <v>812</v>
      </c>
      <c r="D29" s="10"/>
      <c r="E29" s="84" t="s">
        <v>601</v>
      </c>
      <c r="F29" s="390">
        <f aca="true" t="shared" si="0" ref="F29:J30">F23</f>
        <v>0.008675017379443324</v>
      </c>
      <c r="G29" s="390">
        <f t="shared" si="0"/>
        <v>0.01</v>
      </c>
      <c r="H29" s="390">
        <f t="shared" si="0"/>
        <v>0.011117569048303999</v>
      </c>
      <c r="I29" s="390">
        <f t="shared" si="0"/>
        <v>0.012372638480534428</v>
      </c>
      <c r="J29" s="390">
        <f t="shared" si="0"/>
        <v>0.0139029852932359</v>
      </c>
    </row>
    <row r="30" spans="3:10" ht="12.75">
      <c r="C30" s="10" t="s">
        <v>715</v>
      </c>
      <c r="D30" s="10"/>
      <c r="E30" s="84" t="s">
        <v>601</v>
      </c>
      <c r="F30" s="390">
        <f t="shared" si="0"/>
        <v>0.06949130217184118</v>
      </c>
      <c r="G30" s="390">
        <f t="shared" si="0"/>
        <v>0.08</v>
      </c>
      <c r="H30" s="390">
        <f t="shared" si="0"/>
        <v>0.0888422480828289</v>
      </c>
      <c r="I30" s="390">
        <f t="shared" si="0"/>
        <v>0.0987491316169549</v>
      </c>
      <c r="J30" s="390">
        <f t="shared" si="0"/>
        <v>0.1107957297678306</v>
      </c>
    </row>
    <row r="31" spans="3:10" ht="12.75">
      <c r="C31" s="10" t="s">
        <v>716</v>
      </c>
      <c r="D31" s="10"/>
      <c r="E31" s="84" t="s">
        <v>601</v>
      </c>
      <c r="F31" s="390">
        <f>F26</f>
        <v>0.015872782762890607</v>
      </c>
      <c r="G31" s="390">
        <f>G26</f>
        <v>0.01569771589031051</v>
      </c>
      <c r="H31" s="390">
        <f>H26</f>
        <v>0.015553028708328798</v>
      </c>
      <c r="I31" s="390">
        <f>I26</f>
        <v>0.015393686940682442</v>
      </c>
      <c r="J31" s="390">
        <f>J26</f>
        <v>0.015203759481352726</v>
      </c>
    </row>
    <row r="32" spans="3:10" ht="12.75">
      <c r="C32" s="90" t="s">
        <v>613</v>
      </c>
      <c r="D32" s="56"/>
      <c r="E32" s="92"/>
      <c r="F32" s="214">
        <f>(1+F29)*(1+F30)*(1+F31)-1</f>
        <v>0.09589222629849603</v>
      </c>
      <c r="G32" s="214">
        <f>(1+G29)*(1+G30)*(1+G31)-1</f>
        <v>0.1079230684931507</v>
      </c>
      <c r="H32" s="214">
        <f>(1+H29)*(1+H30)*(1+H31)-1</f>
        <v>0.11807059545175091</v>
      </c>
      <c r="I32" s="214">
        <f>(1+I29)*(1+I30)*(1+I31)-1</f>
        <v>0.12946662589640368</v>
      </c>
      <c r="J32" s="214">
        <f>(1+J29)*(1+J30)*(1+J31)-1</f>
        <v>0.14336217495573278</v>
      </c>
    </row>
    <row r="35" spans="2:3" ht="15.75">
      <c r="B35" s="267">
        <f>B10+0.01</f>
        <v>10.02</v>
      </c>
      <c r="C35" s="29" t="s">
        <v>792</v>
      </c>
    </row>
    <row r="37" spans="3:10" ht="12.75">
      <c r="C37" s="90" t="s">
        <v>829</v>
      </c>
      <c r="D37" s="90"/>
      <c r="E37" s="92" t="s">
        <v>652</v>
      </c>
      <c r="F37" s="92">
        <f>'C. Masterfiles'!E$99</f>
        <v>2008</v>
      </c>
      <c r="G37" s="92">
        <f>'C. Masterfiles'!F$99</f>
        <v>2009</v>
      </c>
      <c r="H37" s="92">
        <f>'C. Masterfiles'!G$99</f>
        <v>2010</v>
      </c>
      <c r="I37" s="92">
        <f>'C. Masterfiles'!H$99</f>
        <v>2011</v>
      </c>
      <c r="J37" s="92">
        <f>'C. Masterfiles'!I$99</f>
        <v>2012</v>
      </c>
    </row>
    <row r="38" spans="3:10" ht="12.75">
      <c r="C38" s="10" t="s">
        <v>826</v>
      </c>
      <c r="D38" s="10"/>
      <c r="E38" s="84" t="str">
        <f>'C. Masterfiles'!$D$110</f>
        <v>Euro</v>
      </c>
      <c r="F38" s="355">
        <f>F20</f>
        <v>102873708.17907047</v>
      </c>
      <c r="G38" s="355">
        <f>G20</f>
        <v>92007887.93950914</v>
      </c>
      <c r="H38" s="355">
        <f>H20</f>
        <v>84535964.25643021</v>
      </c>
      <c r="I38" s="355">
        <f>I20</f>
        <v>77650241.185349</v>
      </c>
      <c r="J38" s="355">
        <f>J20</f>
        <v>70699466.36793207</v>
      </c>
    </row>
    <row r="39" spans="3:10" ht="12.75">
      <c r="C39" s="10" t="s">
        <v>827</v>
      </c>
      <c r="D39" s="10"/>
      <c r="E39" s="84" t="str">
        <f>'C. Masterfiles'!$D$110</f>
        <v>Euro</v>
      </c>
      <c r="F39" s="355">
        <f>G39/(1+F$14)</f>
        <v>5361620.955457196</v>
      </c>
      <c r="G39" s="354">
        <f>G38*'4. Operational expenditure'!E61</f>
        <v>5520473.276370548</v>
      </c>
      <c r="H39" s="355">
        <f aca="true" t="shared" si="1" ref="H39:J40">G39*(1+H$14)</f>
        <v>5632773.831293196</v>
      </c>
      <c r="I39" s="355">
        <f t="shared" si="1"/>
        <v>5750920.41517524</v>
      </c>
      <c r="J39" s="355">
        <f t="shared" si="1"/>
        <v>5874899.227823421</v>
      </c>
    </row>
    <row r="40" spans="3:10" ht="12.75">
      <c r="C40" s="10" t="s">
        <v>828</v>
      </c>
      <c r="D40" s="10"/>
      <c r="E40" s="84" t="str">
        <f>'C. Masterfiles'!$D$110</f>
        <v>Euro</v>
      </c>
      <c r="F40" s="355">
        <f>G40/(1+F$14)</f>
        <v>428929.6764365757</v>
      </c>
      <c r="G40" s="354">
        <f>G39*'4. Operational expenditure'!E62</f>
        <v>441637.8621096438</v>
      </c>
      <c r="H40" s="355">
        <f t="shared" si="1"/>
        <v>450621.9065034557</v>
      </c>
      <c r="I40" s="355">
        <f t="shared" si="1"/>
        <v>460073.6332140191</v>
      </c>
      <c r="J40" s="355">
        <f t="shared" si="1"/>
        <v>469991.93822587363</v>
      </c>
    </row>
    <row r="41" spans="3:10" ht="12.75">
      <c r="C41" s="10" t="s">
        <v>832</v>
      </c>
      <c r="D41" s="10"/>
      <c r="E41" s="84" t="str">
        <f>'C. Masterfiles'!$D$110</f>
        <v>Euro</v>
      </c>
      <c r="F41" s="459">
        <f>SUM(F39:F40)</f>
        <v>5790550.631893772</v>
      </c>
      <c r="G41" s="459">
        <f>SUM(G39:G40)</f>
        <v>5962111.138480191</v>
      </c>
      <c r="H41" s="459">
        <f>SUM(H39:H40)</f>
        <v>6083395.737796652</v>
      </c>
      <c r="I41" s="459">
        <f>SUM(I39:I40)</f>
        <v>6210994.048389259</v>
      </c>
      <c r="J41" s="459">
        <f>SUM(J39:J40)</f>
        <v>6344891.166049295</v>
      </c>
    </row>
    <row r="42" spans="3:4" ht="12.75">
      <c r="C42" s="3"/>
      <c r="D42" s="3"/>
    </row>
    <row r="43" spans="3:10" ht="12.75">
      <c r="C43" s="3"/>
      <c r="D43" s="3"/>
      <c r="F43" s="658" t="s">
        <v>831</v>
      </c>
      <c r="G43" s="710"/>
      <c r="H43" s="710"/>
      <c r="I43" s="710"/>
      <c r="J43" s="678"/>
    </row>
    <row r="44" spans="3:10" ht="12.75">
      <c r="C44" s="90" t="s">
        <v>686</v>
      </c>
      <c r="D44" s="92" t="s">
        <v>793</v>
      </c>
      <c r="E44" s="92" t="s">
        <v>652</v>
      </c>
      <c r="F44" s="92">
        <f>'C. Masterfiles'!E$99</f>
        <v>2008</v>
      </c>
      <c r="G44" s="92">
        <f>'C. Masterfiles'!F$99</f>
        <v>2009</v>
      </c>
      <c r="H44" s="92">
        <f>'C. Masterfiles'!G$99</f>
        <v>2010</v>
      </c>
      <c r="I44" s="92">
        <f>'C. Masterfiles'!H$99</f>
        <v>2011</v>
      </c>
      <c r="J44" s="92">
        <f>'C. Masterfiles'!I$99</f>
        <v>2012</v>
      </c>
    </row>
    <row r="45" spans="3:10" ht="12.75">
      <c r="C45" s="291" t="str">
        <f>'C. Masterfiles'!D84</f>
        <v>On-net local calls</v>
      </c>
      <c r="D45" s="364" t="str">
        <f>'C. Masterfiles'!F84</f>
        <v>Yes</v>
      </c>
      <c r="E45" s="424" t="str">
        <f>'C. Masterfiles'!D$110</f>
        <v>Euro</v>
      </c>
      <c r="F45" s="355">
        <f>IF($D45="yes",'9.Service costing'!$Y14*(1+F$32),0)</f>
        <v>54630303.57839072</v>
      </c>
      <c r="G45" s="355">
        <f>IF($D45="yes",'9.Service costing'!$Y32*(1+G$32),0)</f>
        <v>53763218.95382061</v>
      </c>
      <c r="H45" s="355">
        <f>IF($D45="yes",'9.Service costing'!$Y50*(1+H$32),0)</f>
        <v>52344282.3486947</v>
      </c>
      <c r="I45" s="355">
        <f>IF($D45="yes",'9.Service costing'!$Y68*(1+I$32),0)</f>
        <v>50321375.411518745</v>
      </c>
      <c r="J45" s="355">
        <f>IF($D45="yes",'9.Service costing'!$Y86*(1+J$32),0)</f>
        <v>47660004.142340206</v>
      </c>
    </row>
    <row r="46" spans="3:10" ht="12.75">
      <c r="C46" s="291" t="str">
        <f>'C. Masterfiles'!D85</f>
        <v>On-net national calls</v>
      </c>
      <c r="D46" s="364" t="str">
        <f>'C. Masterfiles'!F85</f>
        <v>Yes</v>
      </c>
      <c r="E46" s="424" t="str">
        <f>'C. Masterfiles'!D$110</f>
        <v>Euro</v>
      </c>
      <c r="F46" s="355">
        <f>IF($D46="yes",'9.Service costing'!$Y15*(1+F$32),0)</f>
        <v>20145849.779631697</v>
      </c>
      <c r="G46" s="355">
        <f>IF($D46="yes",'9.Service costing'!$Y33*(1+G$32),0)</f>
        <v>17704613.76594611</v>
      </c>
      <c r="H46" s="355">
        <f>IF($D46="yes",'9.Service costing'!$Y51*(1+H$32),0)</f>
        <v>16182256.872908155</v>
      </c>
      <c r="I46" s="355">
        <f>IF($D46="yes",'9.Service costing'!$Y69*(1+I$32),0)</f>
        <v>14225058.33446918</v>
      </c>
      <c r="J46" s="355">
        <f>IF($D46="yes",'9.Service costing'!$Y87*(1+J$32),0)</f>
        <v>12269153.809675984</v>
      </c>
    </row>
    <row r="47" spans="3:10" ht="12.75">
      <c r="C47" s="291" t="str">
        <f>'C. Masterfiles'!D86</f>
        <v>Originating calls (local)</v>
      </c>
      <c r="D47" s="364" t="str">
        <f>'C. Masterfiles'!F86</f>
        <v>Yes</v>
      </c>
      <c r="E47" s="424" t="str">
        <f>'C. Masterfiles'!D$110</f>
        <v>Euro</v>
      </c>
      <c r="F47" s="355">
        <f>IF($D47="yes",'9.Service costing'!$Y16*(1+F$32),0)</f>
        <v>393172.12998136913</v>
      </c>
      <c r="G47" s="355">
        <f>IF($D47="yes",'9.Service costing'!$Y34*(1+G$32),0)</f>
        <v>375645.8374889197</v>
      </c>
      <c r="H47" s="355">
        <f>IF($D47="yes",'9.Service costing'!$Y52*(1+H$32),0)</f>
        <v>371755.19158222195</v>
      </c>
      <c r="I47" s="355">
        <f>IF($D47="yes",'9.Service costing'!$Y70*(1+I$32),0)</f>
        <v>371880.1992208405</v>
      </c>
      <c r="J47" s="355">
        <f>IF($D47="yes",'9.Service costing'!$Y88*(1+J$32),0)</f>
        <v>382824.43457090063</v>
      </c>
    </row>
    <row r="48" spans="3:10" ht="12.75">
      <c r="C48" s="291" t="str">
        <f>'C. Masterfiles'!D87</f>
        <v>Originating calls (national) </v>
      </c>
      <c r="D48" s="364" t="str">
        <f>'C. Masterfiles'!F87</f>
        <v>Yes</v>
      </c>
      <c r="E48" s="424" t="str">
        <f>'C. Masterfiles'!D$110</f>
        <v>Euro</v>
      </c>
      <c r="F48" s="355">
        <f>IF($D48="yes",'9.Service costing'!$Y17*(1+F$32),0)</f>
        <v>3111293.116281621</v>
      </c>
      <c r="G48" s="355">
        <f>IF($D48="yes",'9.Service costing'!$Y35*(1+G$32),0)</f>
        <v>2613768.341883585</v>
      </c>
      <c r="H48" s="355">
        <f>IF($D48="yes",'9.Service costing'!$Y53*(1+H$32),0)</f>
        <v>2239973.9472789834</v>
      </c>
      <c r="I48" s="355">
        <f>IF($D48="yes",'9.Service costing'!$Y71*(1+I$32),0)</f>
        <v>1864366.6441349036</v>
      </c>
      <c r="J48" s="355">
        <f>IF($D48="yes",'9.Service costing'!$Y89*(1+J$32),0)</f>
        <v>1523710.0747863946</v>
      </c>
    </row>
    <row r="49" spans="3:10" ht="12.75">
      <c r="C49" s="291" t="str">
        <f>'C. Masterfiles'!D88</f>
        <v>Originating calls (international)</v>
      </c>
      <c r="D49" s="364" t="str">
        <f>'C. Masterfiles'!F88</f>
        <v>Yes</v>
      </c>
      <c r="E49" s="424" t="str">
        <f>'C. Masterfiles'!D$110</f>
        <v>Euro</v>
      </c>
      <c r="F49" s="355">
        <f>IF($D49="yes",'9.Service costing'!$Y18*(1+F$32),0)</f>
        <v>3252506.5871708384</v>
      </c>
      <c r="G49" s="355">
        <f>IF($D49="yes",'9.Service costing'!$Y36*(1+G$32),0)</f>
        <v>2228174.1225102353</v>
      </c>
      <c r="H49" s="355">
        <f>IF($D49="yes",'9.Service costing'!$Y54*(1+H$32),0)</f>
        <v>1848952.0143021296</v>
      </c>
      <c r="I49" s="355">
        <f>IF($D49="yes",'9.Service costing'!$Y72*(1+I$32),0)</f>
        <v>1373345.6969729958</v>
      </c>
      <c r="J49" s="355">
        <f>IF($D49="yes",'9.Service costing'!$Y90*(1+J$32),0)</f>
        <v>1001303.5261431036</v>
      </c>
    </row>
    <row r="50" spans="3:10" ht="12.75">
      <c r="C50" s="291" t="str">
        <f>'C. Masterfiles'!D89</f>
        <v>Terminating calls (local)</v>
      </c>
      <c r="D50" s="364" t="str">
        <f>'C. Masterfiles'!F89</f>
        <v>No</v>
      </c>
      <c r="E50" s="424" t="str">
        <f>'C. Masterfiles'!D$110</f>
        <v>Euro</v>
      </c>
      <c r="F50" s="355">
        <f>IF($D50="yes",'9.Service costing'!$Y19*(1+F$32),0)</f>
        <v>0</v>
      </c>
      <c r="G50" s="355">
        <f>IF($D50="yes",'9.Service costing'!$Y37*(1+G$32),0)</f>
        <v>0</v>
      </c>
      <c r="H50" s="355">
        <f>IF($D50="yes",'9.Service costing'!$Y55*(1+H$32),0)</f>
        <v>0</v>
      </c>
      <c r="I50" s="355">
        <f>IF($D50="yes",'9.Service costing'!$Y73*(1+I$32),0)</f>
        <v>0</v>
      </c>
      <c r="J50" s="355">
        <f>IF($D50="yes",'9.Service costing'!$Y91*(1+J$32),0)</f>
        <v>0</v>
      </c>
    </row>
    <row r="51" spans="3:10" ht="12.75">
      <c r="C51" s="291" t="str">
        <f>'C. Masterfiles'!D90</f>
        <v>Terminating calls (national) </v>
      </c>
      <c r="D51" s="364" t="str">
        <f>'C. Masterfiles'!F90</f>
        <v>No</v>
      </c>
      <c r="E51" s="424" t="str">
        <f>'C. Masterfiles'!D$110</f>
        <v>Euro</v>
      </c>
      <c r="F51" s="355">
        <f>IF($D51="yes",'9.Service costing'!$Y20*(1+F$32),0)</f>
        <v>0</v>
      </c>
      <c r="G51" s="355">
        <f>IF($D51="yes",'9.Service costing'!$Y38*(1+G$32),0)</f>
        <v>0</v>
      </c>
      <c r="H51" s="355">
        <f>IF($D51="yes",'9.Service costing'!$Y56*(1+H$32),0)</f>
        <v>0</v>
      </c>
      <c r="I51" s="355">
        <f>IF($D51="yes",'9.Service costing'!$Y74*(1+I$32),0)</f>
        <v>0</v>
      </c>
      <c r="J51" s="355">
        <f>IF($D51="yes",'9.Service costing'!$Y92*(1+J$32),0)</f>
        <v>0</v>
      </c>
    </row>
    <row r="52" spans="3:10" ht="12.75">
      <c r="C52" s="291" t="str">
        <f>'C. Masterfiles'!D91</f>
        <v>Terminating calls (international)</v>
      </c>
      <c r="D52" s="364" t="str">
        <f>'C. Masterfiles'!F91</f>
        <v>No</v>
      </c>
      <c r="E52" s="424" t="str">
        <f>'C. Masterfiles'!D$110</f>
        <v>Euro</v>
      </c>
      <c r="F52" s="355">
        <f>IF($D52="yes",'9.Service costing'!$Y21*(1+F$32),0)</f>
        <v>0</v>
      </c>
      <c r="G52" s="355">
        <f>IF($D52="yes",'9.Service costing'!$Y39*(1+G$32),0)</f>
        <v>0</v>
      </c>
      <c r="H52" s="355">
        <f>IF($D52="yes",'9.Service costing'!$Y57*(1+H$32),0)</f>
        <v>0</v>
      </c>
      <c r="I52" s="355">
        <f>IF($D52="yes",'9.Service costing'!$Y75*(1+I$32),0)</f>
        <v>0</v>
      </c>
      <c r="J52" s="355">
        <f>IF($D52="yes",'9.Service costing'!$Y93*(1+J$32),0)</f>
        <v>0</v>
      </c>
    </row>
    <row r="53" spans="3:10" ht="12.75">
      <c r="C53" s="291" t="str">
        <f>'C. Masterfiles'!D92</f>
        <v>Transit calls</v>
      </c>
      <c r="D53" s="364" t="str">
        <f>'C. Masterfiles'!F92</f>
        <v>No</v>
      </c>
      <c r="E53" s="424" t="str">
        <f>'C. Masterfiles'!D$110</f>
        <v>Euro</v>
      </c>
      <c r="F53" s="355">
        <f>IF($D53="yes",'9.Service costing'!$Y22*(1+F$32),0)</f>
        <v>0</v>
      </c>
      <c r="G53" s="355">
        <f>IF($D53="yes",'9.Service costing'!$Y40*(1+G$32),0)</f>
        <v>0</v>
      </c>
      <c r="H53" s="355">
        <f>IF($D53="yes",'9.Service costing'!$Y58*(1+H$32),0)</f>
        <v>0</v>
      </c>
      <c r="I53" s="355">
        <f>IF($D53="yes",'9.Service costing'!$Y76*(1+I$32),0)</f>
        <v>0</v>
      </c>
      <c r="J53" s="355">
        <f>IF($D53="yes",'9.Service costing'!$Y94*(1+J$32),0)</f>
        <v>0</v>
      </c>
    </row>
    <row r="54" spans="3:10" ht="12.75">
      <c r="C54" s="291" t="str">
        <f>'C. Masterfiles'!D93</f>
        <v>Calls to directory enquiries, emergency &amp; helpdesk</v>
      </c>
      <c r="D54" s="364" t="str">
        <f>'C. Masterfiles'!F93</f>
        <v>Yes</v>
      </c>
      <c r="E54" s="424" t="str">
        <f>'C. Masterfiles'!D$110</f>
        <v>Euro</v>
      </c>
      <c r="F54" s="355">
        <f>IF($D54="yes",'9.Service costing'!$Y23*(1+F$32),0)</f>
        <v>1409214.8601496909</v>
      </c>
      <c r="G54" s="355">
        <f>IF($D54="yes",'9.Service costing'!$Y41*(1+G$32),0)</f>
        <v>1471657.4174828685</v>
      </c>
      <c r="H54" s="355">
        <f>IF($D54="yes",'9.Service costing'!$Y59*(1+H$32),0)</f>
        <v>1650331.4520099687</v>
      </c>
      <c r="I54" s="355">
        <f>IF($D54="yes",'9.Service costing'!$Y77*(1+I$32),0)</f>
        <v>1654236.9161249516</v>
      </c>
      <c r="J54" s="355">
        <f>IF($D54="yes",'9.Service costing'!$Y95*(1+J$32),0)</f>
        <v>1641363.5180452666</v>
      </c>
    </row>
    <row r="55" spans="3:10" ht="12.75">
      <c r="C55" s="291" t="str">
        <f>'C. Masterfiles'!D94</f>
        <v>Calls to non-geographic numbers</v>
      </c>
      <c r="D55" s="364" t="str">
        <f>'C. Masterfiles'!F94</f>
        <v>Yes</v>
      </c>
      <c r="E55" s="424" t="str">
        <f>'C. Masterfiles'!D$110</f>
        <v>Euro</v>
      </c>
      <c r="F55" s="355">
        <f>IF($D55="yes",'9.Service costing'!$Y24*(1+F$32),0)</f>
        <v>838406.4056340746</v>
      </c>
      <c r="G55" s="355">
        <f>IF($D55="yes",'9.Service costing'!$Y42*(1+G$32),0)</f>
        <v>817103.8370064339</v>
      </c>
      <c r="H55" s="355">
        <f>IF($D55="yes",'9.Service costing'!$Y60*(1+H$32),0)</f>
        <v>674908.8341055956</v>
      </c>
      <c r="I55" s="355">
        <f>IF($D55="yes",'9.Service costing'!$Y78*(1+I$32),0)</f>
        <v>719232.6812876133</v>
      </c>
      <c r="J55" s="355">
        <f>IF($D55="yes",'9.Service costing'!$Y96*(1+J$32),0)</f>
        <v>788755.0899856507</v>
      </c>
    </row>
    <row r="56" spans="3:10" ht="12.75">
      <c r="C56" s="291" t="str">
        <f>'C. Masterfiles'!D95</f>
        <v>Internet dial-up calls</v>
      </c>
      <c r="D56" s="364" t="str">
        <f>'C. Masterfiles'!F95</f>
        <v>Yes</v>
      </c>
      <c r="E56" s="424" t="str">
        <f>'C. Masterfiles'!D$110</f>
        <v>Euro</v>
      </c>
      <c r="F56" s="355">
        <f>IF($D56="yes",'9.Service costing'!$Y25*(1+F$32),0)</f>
        <v>9851792.585041733</v>
      </c>
      <c r="G56" s="355">
        <f>IF($D56="yes",'9.Service costing'!$Y43*(1+G$32),0)</f>
        <v>5887902.024910527</v>
      </c>
      <c r="H56" s="355">
        <f>IF($D56="yes",'9.Service costing'!$Y61*(1+H$32),0)</f>
        <v>1909380.6901240046</v>
      </c>
      <c r="I56" s="355">
        <f>IF($D56="yes",'9.Service costing'!$Y79*(1+I$32),0)</f>
        <v>863834.2430738198</v>
      </c>
      <c r="J56" s="355">
        <f>IF($D56="yes",'9.Service costing'!$Y97*(1+J$32),0)</f>
        <v>383618.8574371068</v>
      </c>
    </row>
    <row r="57" spans="3:10" ht="12.75">
      <c r="C57" s="90" t="s">
        <v>635</v>
      </c>
      <c r="D57" s="92"/>
      <c r="E57" s="92" t="s">
        <v>652</v>
      </c>
      <c r="F57" s="232">
        <f>SUM(F45:F56)</f>
        <v>93632539.04228176</v>
      </c>
      <c r="G57" s="232">
        <f>SUM(G45:G56)</f>
        <v>84862084.30104929</v>
      </c>
      <c r="H57" s="232">
        <f>SUM(H45:H56)</f>
        <v>77221841.35100576</v>
      </c>
      <c r="I57" s="232">
        <f>SUM(I45:I56)</f>
        <v>71393330.12680306</v>
      </c>
      <c r="J57" s="232">
        <f>SUM(J45:J56)</f>
        <v>65650733.452984616</v>
      </c>
    </row>
    <row r="59" spans="3:10" ht="12.75">
      <c r="C59" s="90"/>
      <c r="D59" s="90"/>
      <c r="E59" s="92" t="s">
        <v>652</v>
      </c>
      <c r="F59" s="92">
        <f>'C. Masterfiles'!E$99</f>
        <v>2008</v>
      </c>
      <c r="G59" s="92">
        <f>'C. Masterfiles'!F$99</f>
        <v>2009</v>
      </c>
      <c r="H59" s="92">
        <f>'C. Masterfiles'!G$99</f>
        <v>2010</v>
      </c>
      <c r="I59" s="92">
        <f>'C. Masterfiles'!H$99</f>
        <v>2011</v>
      </c>
      <c r="J59" s="92">
        <f>'C. Masterfiles'!I$99</f>
        <v>2012</v>
      </c>
    </row>
    <row r="60" spans="3:10" ht="12.75">
      <c r="C60" s="10" t="s">
        <v>832</v>
      </c>
      <c r="D60" s="10"/>
      <c r="E60" s="84" t="str">
        <f>'C. Masterfiles'!$D$110</f>
        <v>Euro</v>
      </c>
      <c r="F60" s="355">
        <f>F41</f>
        <v>5790550.631893772</v>
      </c>
      <c r="G60" s="355">
        <f>G41</f>
        <v>5962111.138480191</v>
      </c>
      <c r="H60" s="355">
        <f>H41</f>
        <v>6083395.737796652</v>
      </c>
      <c r="I60" s="355">
        <f>I41</f>
        <v>6210994.048389259</v>
      </c>
      <c r="J60" s="355">
        <f>J41</f>
        <v>6344891.166049295</v>
      </c>
    </row>
    <row r="61" spans="3:10" ht="12.75">
      <c r="C61" s="10" t="s">
        <v>833</v>
      </c>
      <c r="D61" s="10"/>
      <c r="E61" s="84" t="s">
        <v>601</v>
      </c>
      <c r="F61" s="505">
        <f>F60/F57</f>
        <v>0.061843357994157626</v>
      </c>
      <c r="G61" s="505">
        <f>G60/G57</f>
        <v>0.07025647776137019</v>
      </c>
      <c r="H61" s="505">
        <f>H60/H57</f>
        <v>0.07877817507802046</v>
      </c>
      <c r="I61" s="505">
        <f>I60/I57</f>
        <v>0.0869968390234465</v>
      </c>
      <c r="J61" s="505">
        <f>J60/J57</f>
        <v>0.09664615812088606</v>
      </c>
    </row>
  </sheetData>
  <sheetProtection/>
  <mergeCells count="1">
    <mergeCell ref="F43:J4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M283"/>
  <sheetViews>
    <sheetView zoomScale="130" zoomScaleNormal="130" zoomScalePageLayoutView="0" workbookViewId="0" topLeftCell="A1">
      <selection activeCell="C3" sqref="C3"/>
    </sheetView>
  </sheetViews>
  <sheetFormatPr defaultColWidth="9.140625" defaultRowHeight="12.75" outlineLevelRow="1"/>
  <cols>
    <col min="1" max="1" width="6.57421875" style="1" customWidth="1"/>
    <col min="2" max="2" width="15.7109375" style="54" customWidth="1"/>
    <col min="3" max="3" width="7.421875" style="1" customWidth="1"/>
    <col min="4" max="4" width="35.421875" style="1" customWidth="1"/>
    <col min="5" max="5" width="18.7109375" style="1" customWidth="1"/>
    <col min="6" max="6" width="15.7109375" style="1" customWidth="1"/>
    <col min="7" max="7" width="15.7109375" style="97" customWidth="1"/>
    <col min="8" max="13" width="15.7109375" style="1" customWidth="1"/>
    <col min="14" max="14" width="9.140625" style="1" customWidth="1"/>
    <col min="15" max="17" width="15.7109375" style="1" customWidth="1"/>
    <col min="18" max="16384" width="9.140625" style="1" customWidth="1"/>
  </cols>
  <sheetData>
    <row r="1" spans="1:2" s="21" customFormat="1" ht="26.25">
      <c r="A1" s="20">
        <v>11</v>
      </c>
      <c r="B1" s="22" t="s">
        <v>578</v>
      </c>
    </row>
    <row r="2" ht="12.75">
      <c r="C2" s="126"/>
    </row>
    <row r="3" spans="2:7" ht="12.75">
      <c r="B3" s="598" t="s">
        <v>247</v>
      </c>
      <c r="C3" s="257" t="s">
        <v>301</v>
      </c>
      <c r="D3" s="280"/>
      <c r="E3" s="280"/>
      <c r="F3" s="280"/>
      <c r="G3" s="280"/>
    </row>
    <row r="4" spans="2:7" ht="12.75">
      <c r="B4" s="599" t="s">
        <v>249</v>
      </c>
      <c r="C4" s="244" t="s">
        <v>255</v>
      </c>
      <c r="D4" s="243"/>
      <c r="E4" s="243"/>
      <c r="F4" s="243"/>
      <c r="G4" s="243"/>
    </row>
    <row r="5" spans="2:7" ht="12.75">
      <c r="B5" s="600" t="s">
        <v>251</v>
      </c>
      <c r="C5" s="323" t="s">
        <v>176</v>
      </c>
      <c r="D5" s="324"/>
      <c r="E5" s="324"/>
      <c r="F5" s="324"/>
      <c r="G5" s="324"/>
    </row>
    <row r="6" spans="2:7" ht="12.75">
      <c r="B6" s="601" t="s">
        <v>252</v>
      </c>
      <c r="C6" s="258" t="s">
        <v>302</v>
      </c>
      <c r="D6" s="281"/>
      <c r="E6" s="281"/>
      <c r="F6" s="281"/>
      <c r="G6" s="281"/>
    </row>
    <row r="7" spans="2:7" ht="12.75">
      <c r="B7" s="602" t="s">
        <v>254</v>
      </c>
      <c r="C7" s="259" t="s">
        <v>177</v>
      </c>
      <c r="D7" s="255"/>
      <c r="E7" s="255"/>
      <c r="F7" s="255"/>
      <c r="G7" s="255"/>
    </row>
    <row r="8" spans="2:3" s="21" customFormat="1" ht="12.75">
      <c r="B8" s="25"/>
      <c r="C8" s="85"/>
    </row>
    <row r="10" spans="1:9" ht="15.75">
      <c r="A10" s="28"/>
      <c r="B10" s="267">
        <f>A1+0.01</f>
        <v>11.01</v>
      </c>
      <c r="C10" s="29" t="s">
        <v>789</v>
      </c>
      <c r="D10" s="101"/>
      <c r="E10" s="101"/>
      <c r="F10" s="83"/>
      <c r="G10" s="88"/>
      <c r="H10" s="83"/>
      <c r="I10" s="83"/>
    </row>
    <row r="11" spans="1:9" ht="12.75">
      <c r="A11" s="83"/>
      <c r="B11" s="89"/>
      <c r="C11" s="57"/>
      <c r="D11" s="101"/>
      <c r="E11" s="101"/>
      <c r="F11" s="83"/>
      <c r="G11" s="88"/>
      <c r="H11" s="83"/>
      <c r="I11" s="83"/>
    </row>
    <row r="12" spans="1:9" ht="18">
      <c r="A12" s="83"/>
      <c r="B12" s="85"/>
      <c r="C12" s="394">
        <f>'C. Masterfiles'!D101</f>
        <v>2008</v>
      </c>
      <c r="D12" s="85"/>
      <c r="E12" s="85"/>
      <c r="F12" s="83"/>
      <c r="G12" s="88"/>
      <c r="H12" s="83"/>
      <c r="I12" s="83"/>
    </row>
    <row r="13" spans="2:13" s="83" customFormat="1" ht="12.75">
      <c r="B13" s="85"/>
      <c r="G13" s="658" t="str">
        <f>'C. Masterfiles'!D$110</f>
        <v>Euro</v>
      </c>
      <c r="H13" s="710"/>
      <c r="I13" s="678"/>
      <c r="K13" s="658" t="str">
        <f>'C. Masterfiles'!D$112</f>
        <v>Moldova Lei</v>
      </c>
      <c r="L13" s="710"/>
      <c r="M13" s="678"/>
    </row>
    <row r="14" spans="1:13" ht="12.75">
      <c r="A14" s="83"/>
      <c r="B14" s="85"/>
      <c r="C14" s="103"/>
      <c r="D14" s="103" t="str">
        <f>'8.Routing factors'!D32</f>
        <v>Service</v>
      </c>
      <c r="E14" s="90" t="s">
        <v>652</v>
      </c>
      <c r="F14" s="83"/>
      <c r="G14" s="92" t="s">
        <v>579</v>
      </c>
      <c r="H14" s="92" t="s">
        <v>580</v>
      </c>
      <c r="I14" s="92" t="s">
        <v>581</v>
      </c>
      <c r="K14" s="92" t="s">
        <v>579</v>
      </c>
      <c r="L14" s="92" t="s">
        <v>580</v>
      </c>
      <c r="M14" s="92" t="s">
        <v>581</v>
      </c>
    </row>
    <row r="15" spans="1:13" ht="12.75">
      <c r="A15" s="83"/>
      <c r="B15" s="85"/>
      <c r="C15" s="291" t="str">
        <f>'C. Masterfiles'!C84</f>
        <v>S01</v>
      </c>
      <c r="D15" s="291" t="str">
        <f>'C. Masterfiles'!D84</f>
        <v>On-net local calls</v>
      </c>
      <c r="E15" s="291" t="str">
        <f>'C. Masterfiles'!E84</f>
        <v>Voice Minutes</v>
      </c>
      <c r="F15" s="104"/>
      <c r="G15" s="391">
        <f>'9.Service costing'!AA14</f>
        <v>0.019731335595096263</v>
      </c>
      <c r="H15" s="392">
        <f>IF(G15="","",G15*'10.Mark ups'!F$32)</f>
        <v>0.0018920816980565406</v>
      </c>
      <c r="I15" s="393">
        <f>IF(G15="","",G15+H15)</f>
        <v>0.021623417293152803</v>
      </c>
      <c r="K15" s="393">
        <f>IF(G15="","",G15*'C. Masterfiles'!$E$112)</f>
        <v>0.3186610698608046</v>
      </c>
      <c r="L15" s="393">
        <f>IF(G15="","",H15*'C. Masterfiles'!$E$112)</f>
        <v>0.030557119423613128</v>
      </c>
      <c r="M15" s="393">
        <f>IF(G15="","",I15*'C. Masterfiles'!$E$112)</f>
        <v>0.3492181892844177</v>
      </c>
    </row>
    <row r="16" spans="1:13" ht="12.75" outlineLevel="1">
      <c r="A16" s="83"/>
      <c r="B16" s="85"/>
      <c r="C16" s="291" t="str">
        <f>'C. Masterfiles'!C85</f>
        <v>S02</v>
      </c>
      <c r="D16" s="291" t="str">
        <f>'C. Masterfiles'!D85</f>
        <v>On-net national calls</v>
      </c>
      <c r="E16" s="291" t="str">
        <f>'C. Masterfiles'!E85</f>
        <v>Voice Minutes</v>
      </c>
      <c r="F16" s="104"/>
      <c r="G16" s="391">
        <f>'9.Service costing'!AA15</f>
        <v>0.046829423745725775</v>
      </c>
      <c r="H16" s="392">
        <f>IF(G16="","",G16*'10.Mark ups'!F$32)</f>
        <v>0.004490577699253299</v>
      </c>
      <c r="I16" s="393">
        <f aca="true" t="shared" si="0" ref="I16:I26">IF(G16="","",G16+H16)</f>
        <v>0.05132000144497907</v>
      </c>
      <c r="K16" s="393">
        <f>IF(G16="","",G16*'C. Masterfiles'!$E$112)</f>
        <v>0.7562951934934712</v>
      </c>
      <c r="L16" s="393">
        <f>IF(G16="","",H16*'C. Masterfiles'!$E$112)</f>
        <v>0.07252282984294078</v>
      </c>
      <c r="M16" s="393">
        <f>IF(G16="","",I16*'C. Masterfiles'!$E$112)</f>
        <v>0.828818023336412</v>
      </c>
    </row>
    <row r="17" spans="1:13" ht="12.75" outlineLevel="1">
      <c r="A17" s="83"/>
      <c r="B17" s="85"/>
      <c r="C17" s="291" t="str">
        <f>'C. Masterfiles'!C86</f>
        <v>S03</v>
      </c>
      <c r="D17" s="291" t="str">
        <f>'C. Masterfiles'!D86</f>
        <v>Originating calls (local)</v>
      </c>
      <c r="E17" s="291" t="str">
        <f>'C. Masterfiles'!E86</f>
        <v>Voice Minutes</v>
      </c>
      <c r="F17" s="104"/>
      <c r="G17" s="391">
        <f>'9.Service costing'!AA16</f>
        <v>0.0053761571134692656</v>
      </c>
      <c r="H17" s="392">
        <f>IF(G17="","",G17*'10.Mark ups'!F$32)</f>
        <v>0.000515531674541064</v>
      </c>
      <c r="I17" s="393">
        <f t="shared" si="0"/>
        <v>0.00589168878801033</v>
      </c>
      <c r="K17" s="393">
        <f>IF(G17="","",G17*'C. Masterfiles'!$E$112)</f>
        <v>0.08682493738252862</v>
      </c>
      <c r="L17" s="393">
        <f>IF(G17="","",H17*'C. Masterfiles'!$E$112)</f>
        <v>0.008325836543838182</v>
      </c>
      <c r="M17" s="393">
        <f>IF(G17="","",I17*'C. Masterfiles'!$E$112)</f>
        <v>0.09515077392636681</v>
      </c>
    </row>
    <row r="18" spans="1:13" ht="12.75" outlineLevel="1">
      <c r="A18" s="83"/>
      <c r="B18" s="85"/>
      <c r="C18" s="291" t="str">
        <f>'C. Masterfiles'!C87</f>
        <v>S04</v>
      </c>
      <c r="D18" s="291" t="str">
        <f>'C. Masterfiles'!D87</f>
        <v>Originating calls (national) </v>
      </c>
      <c r="E18" s="291" t="str">
        <f>'C. Masterfiles'!E87</f>
        <v>Voice Minutes</v>
      </c>
      <c r="F18" s="104"/>
      <c r="G18" s="391">
        <f>'9.Service costing'!AA17</f>
        <v>0.029236634241533978</v>
      </c>
      <c r="H18" s="392">
        <f>IF(G18="","",G18*'10.Mark ups'!F$32)</f>
        <v>0.0028035659468955343</v>
      </c>
      <c r="I18" s="393">
        <f t="shared" si="0"/>
        <v>0.03204020018842951</v>
      </c>
      <c r="K18" s="393">
        <f>IF(G18="","",G18*'C. Masterfiles'!$E$112)</f>
        <v>0.4721716430007737</v>
      </c>
      <c r="L18" s="393">
        <f>IF(G18="","",H18*'C. Masterfiles'!$E$112)</f>
        <v>0.04527759004236288</v>
      </c>
      <c r="M18" s="393">
        <f>IF(G18="","",I18*'C. Masterfiles'!$E$112)</f>
        <v>0.5174492330431366</v>
      </c>
    </row>
    <row r="19" spans="1:13" ht="12.75" outlineLevel="1">
      <c r="A19" s="83"/>
      <c r="B19" s="85"/>
      <c r="C19" s="291" t="str">
        <f>'C. Masterfiles'!C88</f>
        <v>S05</v>
      </c>
      <c r="D19" s="291" t="str">
        <f>'C. Masterfiles'!D88</f>
        <v>Originating calls (international)</v>
      </c>
      <c r="E19" s="291" t="str">
        <f>'C. Masterfiles'!E88</f>
        <v>Voice Minutes</v>
      </c>
      <c r="F19" s="104"/>
      <c r="G19" s="391">
        <f>'9.Service costing'!AA18</f>
        <v>0.024762728397726003</v>
      </c>
      <c r="H19" s="392">
        <f>IF(G19="","",G19*'10.Mark ups'!F$32)</f>
        <v>0.002374553155282936</v>
      </c>
      <c r="I19" s="393">
        <f t="shared" si="0"/>
        <v>0.02713728155300894</v>
      </c>
      <c r="K19" s="393">
        <f>IF(G19="","",G19*'C. Masterfiles'!$E$112)</f>
        <v>0.3999180636232749</v>
      </c>
      <c r="L19" s="393">
        <f>IF(G19="","",H19*'C. Masterfiles'!$E$112)</f>
        <v>0.03834903345781941</v>
      </c>
      <c r="M19" s="393">
        <f>IF(G19="","",I19*'C. Masterfiles'!$E$112)</f>
        <v>0.43826709708109435</v>
      </c>
    </row>
    <row r="20" spans="1:13" ht="12.75" outlineLevel="1">
      <c r="A20" s="83"/>
      <c r="B20" s="85"/>
      <c r="C20" s="291" t="str">
        <f>'C. Masterfiles'!C89</f>
        <v>S06</v>
      </c>
      <c r="D20" s="291" t="str">
        <f>'C. Masterfiles'!D89</f>
        <v>Terminating calls (local)</v>
      </c>
      <c r="E20" s="291" t="str">
        <f>'C. Masterfiles'!E89</f>
        <v>Voice Minutes</v>
      </c>
      <c r="F20" s="104"/>
      <c r="G20" s="391">
        <f>'9.Service costing'!AA19</f>
        <v>0.005756038842623046</v>
      </c>
      <c r="H20" s="392">
        <f>IF(G20="","",G20*'10.Mark ups'!F$32)</f>
        <v>0.0005519593792797422</v>
      </c>
      <c r="I20" s="393">
        <f t="shared" si="0"/>
        <v>0.006307998221902788</v>
      </c>
      <c r="K20" s="393">
        <f>IF(G20="","",G20*'C. Masterfiles'!$E$112)</f>
        <v>0.09296002730836218</v>
      </c>
      <c r="L20" s="393">
        <f>IF(G20="","",H20*'C. Masterfiles'!$E$112)</f>
        <v>0.008914143975367836</v>
      </c>
      <c r="M20" s="393">
        <f>IF(G20="","",I20*'C. Masterfiles'!$E$112)</f>
        <v>0.10187417128373003</v>
      </c>
    </row>
    <row r="21" spans="1:13" ht="12.75" outlineLevel="1">
      <c r="A21" s="83"/>
      <c r="B21" s="85"/>
      <c r="C21" s="291" t="str">
        <f>'C. Masterfiles'!C90</f>
        <v>S07</v>
      </c>
      <c r="D21" s="291" t="str">
        <f>'C. Masterfiles'!D90</f>
        <v>Terminating calls (national) </v>
      </c>
      <c r="E21" s="291" t="str">
        <f>'C. Masterfiles'!E90</f>
        <v>Voice Minutes</v>
      </c>
      <c r="F21" s="104"/>
      <c r="G21" s="391">
        <f>'9.Service costing'!AA20</f>
        <v>0.029728009853233383</v>
      </c>
      <c r="H21" s="392">
        <f>IF(G21="","",G21*'10.Mark ups'!F$32)</f>
        <v>0.0028506850482501755</v>
      </c>
      <c r="I21" s="393">
        <f t="shared" si="0"/>
        <v>0.03257869490148356</v>
      </c>
      <c r="K21" s="393">
        <f>IF(G21="","",G21*'C. Masterfiles'!$E$112)</f>
        <v>0.4801073591297191</v>
      </c>
      <c r="L21" s="393">
        <f>IF(G21="","",H21*'C. Masterfiles'!$E$112)</f>
        <v>0.04603856352924033</v>
      </c>
      <c r="M21" s="393">
        <f>IF(G21="","",I21*'C. Masterfiles'!$E$112)</f>
        <v>0.5261459226589594</v>
      </c>
    </row>
    <row r="22" spans="1:13" ht="12.75" outlineLevel="1">
      <c r="A22" s="83"/>
      <c r="B22" s="85"/>
      <c r="C22" s="291" t="str">
        <f>'C. Masterfiles'!C91</f>
        <v>S08</v>
      </c>
      <c r="D22" s="291" t="str">
        <f>'C. Masterfiles'!D91</f>
        <v>Terminating calls (international)</v>
      </c>
      <c r="E22" s="291" t="str">
        <f>'C. Masterfiles'!E91</f>
        <v>Voice Minutes</v>
      </c>
      <c r="F22" s="104"/>
      <c r="G22" s="391">
        <f>'9.Service costing'!AA21</f>
        <v>0.025185964032021772</v>
      </c>
      <c r="H22" s="392">
        <f>IF(G22="","",G22*'10.Mark ups'!F$32)</f>
        <v>0.0024151381625044134</v>
      </c>
      <c r="I22" s="393">
        <f t="shared" si="0"/>
        <v>0.027601102194526186</v>
      </c>
      <c r="K22" s="393">
        <f>IF(G22="","",G22*'C. Masterfiles'!$E$112)</f>
        <v>0.40675331911715157</v>
      </c>
      <c r="L22" s="393">
        <f>IF(G22="","",H22*'C. Masterfiles'!$E$112)</f>
        <v>0.039004481324446276</v>
      </c>
      <c r="M22" s="393">
        <f>IF(G22="","",I22*'C. Masterfiles'!$E$112)</f>
        <v>0.44575780044159785</v>
      </c>
    </row>
    <row r="23" spans="1:13" ht="12.75" outlineLevel="1">
      <c r="A23" s="83"/>
      <c r="B23" s="85"/>
      <c r="C23" s="291" t="str">
        <f>'C. Masterfiles'!C92</f>
        <v>S09</v>
      </c>
      <c r="D23" s="291" t="str">
        <f>'C. Masterfiles'!D92</f>
        <v>Transit calls</v>
      </c>
      <c r="E23" s="291" t="str">
        <f>'C. Masterfiles'!E92</f>
        <v>Voice Minutes</v>
      </c>
      <c r="F23" s="104"/>
      <c r="G23" s="391">
        <f>'9.Service costing'!AA22</f>
        <v>0.028005459680638785</v>
      </c>
      <c r="H23" s="392">
        <f>IF(G23="","",G23*'10.Mark ups'!F$32)</f>
        <v>0.002685505877289221</v>
      </c>
      <c r="I23" s="393">
        <f t="shared" si="0"/>
        <v>0.030690965557928006</v>
      </c>
      <c r="K23" s="393">
        <f>IF(G23="","",G23*'C. Masterfiles'!$E$112)</f>
        <v>0.45228817384231634</v>
      </c>
      <c r="L23" s="393">
        <f>IF(G23="","",H23*'C. Masterfiles'!$E$112)</f>
        <v>0.04337091991822091</v>
      </c>
      <c r="M23" s="393">
        <f>IF(G23="","",I23*'C. Masterfiles'!$E$112)</f>
        <v>0.49565909376053724</v>
      </c>
    </row>
    <row r="24" spans="1:13" ht="12.75" outlineLevel="1">
      <c r="A24" s="83"/>
      <c r="B24" s="85"/>
      <c r="C24" s="291" t="str">
        <f>'C. Masterfiles'!C93</f>
        <v>S10</v>
      </c>
      <c r="D24" s="291" t="str">
        <f>'C. Masterfiles'!D93</f>
        <v>Calls to directory enquiries, emergency &amp; helpdesk</v>
      </c>
      <c r="E24" s="291" t="str">
        <f>'C. Masterfiles'!E93</f>
        <v>Voice Minutes</v>
      </c>
      <c r="F24" s="104"/>
      <c r="G24" s="391">
        <f>'9.Service costing'!AA23</f>
        <v>0.5052324079402964</v>
      </c>
      <c r="H24" s="392">
        <f>IF(G24="","",G24*'10.Mark ups'!F$32)</f>
        <v>0.04844786039554497</v>
      </c>
      <c r="I24" s="393">
        <f t="shared" si="0"/>
        <v>0.5536802683358414</v>
      </c>
      <c r="K24" s="393">
        <f>IF(G24="","",G24*'C. Masterfiles'!$E$112)</f>
        <v>8.159503388235787</v>
      </c>
      <c r="L24" s="393">
        <f>IF(G24="","",H24*'C. Masterfiles'!$E$112)</f>
        <v>0.7824329453880512</v>
      </c>
      <c r="M24" s="393">
        <f>IF(G24="","",I24*'C. Masterfiles'!$E$112)</f>
        <v>8.941936333623838</v>
      </c>
    </row>
    <row r="25" spans="1:13" ht="12.75" outlineLevel="1">
      <c r="A25" s="83"/>
      <c r="B25" s="85"/>
      <c r="C25" s="291" t="str">
        <f>'C. Masterfiles'!C94</f>
        <v>S11</v>
      </c>
      <c r="D25" s="291" t="str">
        <f>'C. Masterfiles'!D94</f>
        <v>Calls to non-geographic numbers</v>
      </c>
      <c r="E25" s="291" t="str">
        <f>'C. Masterfiles'!E94</f>
        <v>Voice Minutes</v>
      </c>
      <c r="F25" s="104"/>
      <c r="G25" s="391">
        <f>'9.Service costing'!AA24</f>
        <v>0.44791777580410125</v>
      </c>
      <c r="H25" s="392">
        <f>IF(G25="","",G25*'10.Mark ups'!F$32)</f>
        <v>0.042951832720525884</v>
      </c>
      <c r="I25" s="393">
        <f t="shared" si="0"/>
        <v>0.49086960852462713</v>
      </c>
      <c r="K25" s="393">
        <f>IF(G25="","",G25*'C. Masterfiles'!$E$112)</f>
        <v>7.233872079236234</v>
      </c>
      <c r="L25" s="393">
        <f>IF(G25="","",H25*'C. Masterfiles'!$E$112)</f>
        <v>0.693672098436493</v>
      </c>
      <c r="M25" s="393">
        <f>IF(G25="","",I25*'C. Masterfiles'!$E$112)</f>
        <v>7.927544177672727</v>
      </c>
    </row>
    <row r="26" spans="1:13" ht="12.75" outlineLevel="1">
      <c r="A26" s="83"/>
      <c r="B26" s="85"/>
      <c r="C26" s="291" t="str">
        <f>'C. Masterfiles'!C95</f>
        <v>S12</v>
      </c>
      <c r="D26" s="291" t="str">
        <f>'C. Masterfiles'!D95</f>
        <v>Internet dial-up calls</v>
      </c>
      <c r="E26" s="291" t="str">
        <f>'C. Masterfiles'!E95</f>
        <v>Voice Minutes</v>
      </c>
      <c r="F26" s="104"/>
      <c r="G26" s="391">
        <f>'9.Service costing'!AA25</f>
        <v>0.022500454445341156</v>
      </c>
      <c r="H26" s="392">
        <f>IF(G26="","",G26*'10.Mark ups'!F$32)</f>
        <v>0.0021576186694916553</v>
      </c>
      <c r="I26" s="393">
        <f t="shared" si="0"/>
        <v>0.024658073114832813</v>
      </c>
      <c r="K26" s="393">
        <f>IF(G26="","",G26*'C. Masterfiles'!$E$112)</f>
        <v>0.36338233929225966</v>
      </c>
      <c r="L26" s="393">
        <f>IF(G26="","",H26*'C. Masterfiles'!$E$112)</f>
        <v>0.03484554151229023</v>
      </c>
      <c r="M26" s="393">
        <f>IF(G26="","",I26*'C. Masterfiles'!$E$112)</f>
        <v>0.3982278808045499</v>
      </c>
    </row>
    <row r="27" spans="1:7" ht="12.75" outlineLevel="1">
      <c r="A27" s="83"/>
      <c r="B27" s="85"/>
      <c r="G27" s="1"/>
    </row>
    <row r="28" spans="1:9" ht="12.75">
      <c r="A28" s="83"/>
      <c r="B28" s="85"/>
      <c r="C28" s="83"/>
      <c r="D28" s="102"/>
      <c r="E28" s="102"/>
      <c r="F28" s="83"/>
      <c r="G28" s="228"/>
      <c r="H28" s="228"/>
      <c r="I28" s="83"/>
    </row>
    <row r="29" spans="1:9" ht="18">
      <c r="A29" s="83"/>
      <c r="B29" s="85"/>
      <c r="C29" s="394">
        <f>'C. Masterfiles'!D102</f>
        <v>2009</v>
      </c>
      <c r="D29" s="83"/>
      <c r="E29" s="83"/>
      <c r="F29" s="83"/>
      <c r="G29" s="88"/>
      <c r="H29" s="83"/>
      <c r="I29" s="83"/>
    </row>
    <row r="30" spans="2:13" s="83" customFormat="1" ht="12.75">
      <c r="B30" s="85"/>
      <c r="G30" s="658" t="str">
        <f>'C. Masterfiles'!D$110</f>
        <v>Euro</v>
      </c>
      <c r="H30" s="710"/>
      <c r="I30" s="678"/>
      <c r="K30" s="658" t="str">
        <f>'C. Masterfiles'!D$112</f>
        <v>Moldova Lei</v>
      </c>
      <c r="L30" s="710"/>
      <c r="M30" s="678"/>
    </row>
    <row r="31" spans="1:13" ht="12.75">
      <c r="A31" s="83"/>
      <c r="B31" s="85"/>
      <c r="C31" s="103"/>
      <c r="D31" s="103" t="str">
        <f>'8.Routing factors'!D50</f>
        <v>Service</v>
      </c>
      <c r="E31" s="90" t="s">
        <v>652</v>
      </c>
      <c r="F31" s="83"/>
      <c r="G31" s="92" t="s">
        <v>579</v>
      </c>
      <c r="H31" s="92" t="s">
        <v>580</v>
      </c>
      <c r="I31" s="92" t="s">
        <v>581</v>
      </c>
      <c r="K31" s="92" t="s">
        <v>579</v>
      </c>
      <c r="L31" s="92" t="s">
        <v>580</v>
      </c>
      <c r="M31" s="92" t="s">
        <v>581</v>
      </c>
    </row>
    <row r="32" spans="1:13" ht="12.75">
      <c r="A32" s="83"/>
      <c r="B32" s="85"/>
      <c r="C32" s="291" t="str">
        <f>'C. Masterfiles'!C84</f>
        <v>S01</v>
      </c>
      <c r="D32" s="291" t="str">
        <f>'C. Masterfiles'!D84</f>
        <v>On-net local calls</v>
      </c>
      <c r="E32" s="291" t="str">
        <f>'C. Masterfiles'!E84</f>
        <v>Voice Minutes</v>
      </c>
      <c r="F32" s="104"/>
      <c r="G32" s="398">
        <f>'9.Service costing'!AA32</f>
        <v>0.019592679077842276</v>
      </c>
      <c r="H32" s="392">
        <f>IF(G32="","",G32*'10.Mark ups'!G$32)</f>
        <v>0.002114502046082293</v>
      </c>
      <c r="I32" s="393">
        <f>IF(G32="","",G32+H32)</f>
        <v>0.021707181123924568</v>
      </c>
      <c r="K32" s="393">
        <f>IF(G32="","",G32*'C. Masterfiles'!$E$112)</f>
        <v>0.31642176710715275</v>
      </c>
      <c r="L32" s="393">
        <f>IF(G32="","",H32*'C. Masterfiles'!$E$112)</f>
        <v>0.034149208044229024</v>
      </c>
      <c r="M32" s="393">
        <f>IF(G32="","",I32*'C. Masterfiles'!$E$112)</f>
        <v>0.35057097515138175</v>
      </c>
    </row>
    <row r="33" spans="1:13" ht="12.75" outlineLevel="1">
      <c r="A33" s="83"/>
      <c r="B33" s="85"/>
      <c r="C33" s="291" t="str">
        <f>'C. Masterfiles'!C85</f>
        <v>S02</v>
      </c>
      <c r="D33" s="291" t="str">
        <f>'C. Masterfiles'!D85</f>
        <v>On-net national calls</v>
      </c>
      <c r="E33" s="291" t="str">
        <f>'C. Masterfiles'!E85</f>
        <v>Voice Minutes</v>
      </c>
      <c r="F33" s="104"/>
      <c r="G33" s="398">
        <f>'9.Service costing'!AA33</f>
        <v>0.045847933352818025</v>
      </c>
      <c r="H33" s="392">
        <f>IF(G33="","",G33*'10.Mark ups'!G$32)</f>
        <v>0.004948049651505588</v>
      </c>
      <c r="I33" s="393">
        <f aca="true" t="shared" si="1" ref="I33:I43">IF(G33="","",G33+H33)</f>
        <v>0.050795983004323614</v>
      </c>
      <c r="K33" s="393">
        <f>IF(G33="","",G33*'C. Masterfiles'!$E$112)</f>
        <v>0.740444123648011</v>
      </c>
      <c r="L33" s="393">
        <f>IF(G33="","",H33*'C. Masterfiles'!$E$112)</f>
        <v>0.07991100187181524</v>
      </c>
      <c r="M33" s="393">
        <f>IF(G33="","",I33*'C. Masterfiles'!$E$112)</f>
        <v>0.8203551255198263</v>
      </c>
    </row>
    <row r="34" spans="1:13" ht="12.75" outlineLevel="1">
      <c r="A34" s="83"/>
      <c r="B34" s="85"/>
      <c r="C34" s="291" t="str">
        <f>'C. Masterfiles'!C86</f>
        <v>S03</v>
      </c>
      <c r="D34" s="291" t="str">
        <f>'C. Masterfiles'!D86</f>
        <v>Originating calls (local)</v>
      </c>
      <c r="E34" s="291" t="str">
        <f>'C. Masterfiles'!E86</f>
        <v>Voice Minutes</v>
      </c>
      <c r="F34" s="104"/>
      <c r="G34" s="398">
        <f>'9.Service costing'!AA34</f>
        <v>0.005570060970860869</v>
      </c>
      <c r="H34" s="392">
        <f>IF(G34="","",G34*'10.Mark ups'!G$32)</f>
        <v>0.000601138071669243</v>
      </c>
      <c r="I34" s="393">
        <f t="shared" si="1"/>
        <v>0.006171199042530112</v>
      </c>
      <c r="K34" s="393">
        <f>IF(G34="","",G34*'C. Masterfiles'!$E$112)</f>
        <v>0.08995648467940302</v>
      </c>
      <c r="L34" s="393">
        <f>IF(G34="","",H34*'C. Masterfiles'!$E$112)</f>
        <v>0.009708379857458274</v>
      </c>
      <c r="M34" s="393">
        <f>IF(G34="","",I34*'C. Masterfiles'!$E$112)</f>
        <v>0.0996648645368613</v>
      </c>
    </row>
    <row r="35" spans="1:13" ht="12.75" outlineLevel="1">
      <c r="A35" s="83"/>
      <c r="B35" s="85"/>
      <c r="C35" s="291" t="str">
        <f>'C. Masterfiles'!C87</f>
        <v>S04</v>
      </c>
      <c r="D35" s="291" t="str">
        <f>'C. Masterfiles'!D87</f>
        <v>Originating calls (national) </v>
      </c>
      <c r="E35" s="291" t="str">
        <f>'C. Masterfiles'!E87</f>
        <v>Voice Minutes</v>
      </c>
      <c r="F35" s="104"/>
      <c r="G35" s="398">
        <f>'9.Service costing'!AA35</f>
        <v>0.0288062024071182</v>
      </c>
      <c r="H35" s="392">
        <f>IF(G35="","",G35*'10.Mark ups'!G$32)</f>
        <v>0.00310885375541098</v>
      </c>
      <c r="I35" s="393">
        <f t="shared" si="1"/>
        <v>0.03191505616252918</v>
      </c>
      <c r="K35" s="393">
        <f>IF(G35="","",G35*'C. Masterfiles'!$E$112)</f>
        <v>0.4652201688749589</v>
      </c>
      <c r="L35" s="393">
        <f>IF(G35="","",H35*'C. Masterfiles'!$E$112)</f>
        <v>0.05020798814988732</v>
      </c>
      <c r="M35" s="393">
        <f>IF(G35="","",I35*'C. Masterfiles'!$E$112)</f>
        <v>0.5154281570248462</v>
      </c>
    </row>
    <row r="36" spans="1:13" ht="12.75" outlineLevel="1">
      <c r="A36" s="83"/>
      <c r="B36" s="85"/>
      <c r="C36" s="291" t="str">
        <f>'C. Masterfiles'!C88</f>
        <v>S05</v>
      </c>
      <c r="D36" s="291" t="str">
        <f>'C. Masterfiles'!D88</f>
        <v>Originating calls (international)</v>
      </c>
      <c r="E36" s="291" t="str">
        <f>'C. Masterfiles'!E88</f>
        <v>Voice Minutes</v>
      </c>
      <c r="F36" s="104"/>
      <c r="G36" s="398">
        <f>'9.Service costing'!AA36</f>
        <v>0.024320268051570802</v>
      </c>
      <c r="H36" s="392">
        <f>IF(G36="","",G36*'10.Mark ups'!G$32)</f>
        <v>0.00262471795470146</v>
      </c>
      <c r="I36" s="393">
        <f t="shared" si="1"/>
        <v>0.02694498600627226</v>
      </c>
      <c r="K36" s="393">
        <f>IF(G36="","",G36*'C. Masterfiles'!$E$112)</f>
        <v>0.3927723290328684</v>
      </c>
      <c r="L36" s="393">
        <f>IF(G36="","",H36*'C. Masterfiles'!$E$112)</f>
        <v>0.04238919496842858</v>
      </c>
      <c r="M36" s="393">
        <f>IF(G36="","",I36*'C. Masterfiles'!$E$112)</f>
        <v>0.435161524001297</v>
      </c>
    </row>
    <row r="37" spans="1:13" ht="12.75" outlineLevel="1">
      <c r="A37" s="83"/>
      <c r="B37" s="85"/>
      <c r="C37" s="291" t="str">
        <f>'C. Masterfiles'!C89</f>
        <v>S06</v>
      </c>
      <c r="D37" s="291" t="str">
        <f>'C. Masterfiles'!D89</f>
        <v>Terminating calls (local)</v>
      </c>
      <c r="E37" s="291" t="str">
        <f>'C. Masterfiles'!E89</f>
        <v>Voice Minutes</v>
      </c>
      <c r="F37" s="104"/>
      <c r="G37" s="398">
        <f>'9.Service costing'!AA37</f>
        <v>0.006005274378557589</v>
      </c>
      <c r="H37" s="392">
        <f>IF(G37="","",G37*'10.Mark ups'!G$32)</f>
        <v>0.0006481076380772336</v>
      </c>
      <c r="I37" s="393">
        <f t="shared" si="1"/>
        <v>0.006653382016634822</v>
      </c>
      <c r="K37" s="393">
        <f>IF(G37="","",G37*'C. Masterfiles'!$E$112)</f>
        <v>0.09698518121370504</v>
      </c>
      <c r="L37" s="393">
        <f>IF(G37="","",H37*'C. Masterfiles'!$E$112)</f>
        <v>0.010466938354947322</v>
      </c>
      <c r="M37" s="393">
        <f>IF(G37="","",I37*'C. Masterfiles'!$E$112)</f>
        <v>0.10745211956865237</v>
      </c>
    </row>
    <row r="38" spans="1:13" ht="12.75" outlineLevel="1">
      <c r="A38" s="83"/>
      <c r="B38" s="85"/>
      <c r="C38" s="291" t="str">
        <f>'C. Masterfiles'!C90</f>
        <v>S07</v>
      </c>
      <c r="D38" s="291" t="str">
        <f>'C. Masterfiles'!D90</f>
        <v>Terminating calls (national) </v>
      </c>
      <c r="E38" s="291" t="str">
        <f>'C. Masterfiles'!E90</f>
        <v>Voice Minutes</v>
      </c>
      <c r="F38" s="104"/>
      <c r="G38" s="398">
        <f>'9.Service costing'!AA38</f>
        <v>0.029364237538667085</v>
      </c>
      <c r="H38" s="392">
        <f>IF(G38="","",G38*'10.Mark ups'!G$32)</f>
        <v>0.0031690786191347145</v>
      </c>
      <c r="I38" s="393">
        <f t="shared" si="1"/>
        <v>0.0325333161578018</v>
      </c>
      <c r="K38" s="393">
        <f>IF(G38="","",G38*'C. Masterfiles'!$E$112)</f>
        <v>0.47423243624947337</v>
      </c>
      <c r="L38" s="393">
        <f>IF(G38="","",H38*'C. Masterfiles'!$E$112)</f>
        <v>0.05118061969902563</v>
      </c>
      <c r="M38" s="393">
        <f>IF(G38="","",I38*'C. Masterfiles'!$E$112)</f>
        <v>0.525413055948499</v>
      </c>
    </row>
    <row r="39" spans="1:13" ht="12.75" outlineLevel="1">
      <c r="A39" s="83"/>
      <c r="B39" s="85"/>
      <c r="C39" s="291" t="str">
        <f>'C. Masterfiles'!C91</f>
        <v>S08</v>
      </c>
      <c r="D39" s="291" t="str">
        <f>'C. Masterfiles'!D91</f>
        <v>Terminating calls (international)</v>
      </c>
      <c r="E39" s="291" t="str">
        <f>'C. Masterfiles'!E91</f>
        <v>Voice Minutes</v>
      </c>
      <c r="F39" s="104"/>
      <c r="G39" s="398">
        <f>'9.Service costing'!AA39</f>
        <v>0.024800919405111928</v>
      </c>
      <c r="H39" s="392">
        <f>IF(G39="","",G39*'10.Mark ups'!G$32)</f>
        <v>0.0026765913236510047</v>
      </c>
      <c r="I39" s="393">
        <f t="shared" si="1"/>
        <v>0.027477510728762932</v>
      </c>
      <c r="K39" s="393">
        <f>IF(G39="","",G39*'C. Masterfiles'!$E$112)</f>
        <v>0.4005348483925576</v>
      </c>
      <c r="L39" s="393">
        <f>IF(G39="","",H39*'C. Masterfiles'!$E$112)</f>
        <v>0.043226949876963724</v>
      </c>
      <c r="M39" s="393">
        <f>IF(G39="","",I39*'C. Masterfiles'!$E$112)</f>
        <v>0.44376179826952133</v>
      </c>
    </row>
    <row r="40" spans="1:13" ht="12.75" outlineLevel="1">
      <c r="A40" s="83"/>
      <c r="B40" s="85"/>
      <c r="C40" s="291" t="str">
        <f>'C. Masterfiles'!C92</f>
        <v>S09</v>
      </c>
      <c r="D40" s="291" t="str">
        <f>'C. Masterfiles'!D92</f>
        <v>Transit calls</v>
      </c>
      <c r="E40" s="291" t="str">
        <f>'C. Masterfiles'!E92</f>
        <v>Voice Minutes</v>
      </c>
      <c r="F40" s="104"/>
      <c r="G40" s="398">
        <f>'9.Service costing'!AA40</f>
        <v>0.02764634110097868</v>
      </c>
      <c r="H40" s="392">
        <f>IF(G40="","",G40*'10.Mark ups'!G$32)</f>
        <v>0.0029836779642259297</v>
      </c>
      <c r="I40" s="393">
        <f t="shared" si="1"/>
        <v>0.03063001906520461</v>
      </c>
      <c r="K40" s="393">
        <f>IF(G40="","",G40*'C. Masterfiles'!$E$112)</f>
        <v>0.44648840878080565</v>
      </c>
      <c r="L40" s="393">
        <f>IF(G40="","",H40*'C. Masterfiles'!$E$112)</f>
        <v>0.04818639912224876</v>
      </c>
      <c r="M40" s="393">
        <f>IF(G40="","",I40*'C. Masterfiles'!$E$112)</f>
        <v>0.4946748079030544</v>
      </c>
    </row>
    <row r="41" spans="1:13" ht="12.75" outlineLevel="1">
      <c r="A41" s="83"/>
      <c r="B41" s="85"/>
      <c r="C41" s="291" t="str">
        <f>'C. Masterfiles'!C93</f>
        <v>S10</v>
      </c>
      <c r="D41" s="291" t="str">
        <f>'C. Masterfiles'!D93</f>
        <v>Calls to directory enquiries, emergency &amp; helpdesk</v>
      </c>
      <c r="E41" s="291" t="str">
        <f>'C. Masterfiles'!E93</f>
        <v>Voice Minutes</v>
      </c>
      <c r="F41" s="104"/>
      <c r="G41" s="398">
        <f>'9.Service costing'!AA41</f>
        <v>0.5272524869815185</v>
      </c>
      <c r="H41" s="392">
        <f>IF(G41="","",G41*'10.Mark ups'!G$32)</f>
        <v>0.05690270626569047</v>
      </c>
      <c r="I41" s="393">
        <f t="shared" si="1"/>
        <v>0.584155193247209</v>
      </c>
      <c r="K41" s="393">
        <f>IF(G41="","",G41*'C. Masterfiles'!$E$112)</f>
        <v>8.515127664751523</v>
      </c>
      <c r="L41" s="393">
        <f>IF(G41="","",H41*'C. Masterfiles'!$E$112)</f>
        <v>0.9189787061909009</v>
      </c>
      <c r="M41" s="393">
        <f>IF(G41="","",I41*'C. Masterfiles'!$E$112)</f>
        <v>9.434106370942425</v>
      </c>
    </row>
    <row r="42" spans="1:13" ht="12.75" outlineLevel="1">
      <c r="A42" s="83"/>
      <c r="B42" s="85"/>
      <c r="C42" s="291" t="str">
        <f>'C. Masterfiles'!C94</f>
        <v>S11</v>
      </c>
      <c r="D42" s="291" t="str">
        <f>'C. Masterfiles'!D94</f>
        <v>Calls to non-geographic numbers</v>
      </c>
      <c r="E42" s="291" t="str">
        <f>'C. Masterfiles'!E94</f>
        <v>Voice Minutes</v>
      </c>
      <c r="F42" s="104"/>
      <c r="G42" s="398">
        <f>'9.Service costing'!AA42</f>
        <v>0.4674398505407247</v>
      </c>
      <c r="H42" s="392">
        <f>IF(G42="","",G42*'10.Mark ups'!G$32)</f>
        <v>0.05044754300633476</v>
      </c>
      <c r="I42" s="393">
        <f t="shared" si="1"/>
        <v>0.5178873935470595</v>
      </c>
      <c r="K42" s="393">
        <f>IF(G42="","",G42*'C. Masterfiles'!$E$112)</f>
        <v>7.549153586232703</v>
      </c>
      <c r="L42" s="393">
        <f>IF(G42="","",H42*'C. Masterfiles'!$E$112)</f>
        <v>0.8147278195523062</v>
      </c>
      <c r="M42" s="393">
        <f>IF(G42="","",I42*'C. Masterfiles'!$E$112)</f>
        <v>8.36388140578501</v>
      </c>
    </row>
    <row r="43" spans="1:13" ht="12.75" outlineLevel="1">
      <c r="A43" s="83"/>
      <c r="B43" s="85"/>
      <c r="C43" s="291" t="str">
        <f>'C. Masterfiles'!C95</f>
        <v>S12</v>
      </c>
      <c r="D43" s="291" t="str">
        <f>'C. Masterfiles'!D95</f>
        <v>Internet dial-up calls</v>
      </c>
      <c r="E43" s="291" t="str">
        <f>'C. Masterfiles'!E95</f>
        <v>Voice Minutes</v>
      </c>
      <c r="F43" s="104"/>
      <c r="G43" s="398">
        <f>'9.Service costing'!AA43</f>
        <v>0.022098416402414944</v>
      </c>
      <c r="H43" s="392">
        <f>IF(G43="","",G43*'10.Mark ups'!G$32)</f>
        <v>0.0023849289069879927</v>
      </c>
      <c r="I43" s="393">
        <f t="shared" si="1"/>
        <v>0.024483345309402937</v>
      </c>
      <c r="K43" s="393">
        <f>IF(G43="","",G43*'C. Masterfiles'!$E$112)</f>
        <v>0.35688942489900133</v>
      </c>
      <c r="L43" s="393">
        <f>IF(G43="","",H43*'C. Masterfiles'!$E$112)</f>
        <v>0.03851660184785608</v>
      </c>
      <c r="M43" s="393">
        <f>IF(G43="","",I43*'C. Masterfiles'!$E$112)</f>
        <v>0.39540602674685743</v>
      </c>
    </row>
    <row r="44" spans="1:9" ht="12.75">
      <c r="A44" s="83"/>
      <c r="B44" s="85"/>
      <c r="C44" s="85"/>
      <c r="D44" s="85"/>
      <c r="E44" s="85"/>
      <c r="F44" s="104"/>
      <c r="G44" s="396"/>
      <c r="H44" s="396"/>
      <c r="I44" s="397"/>
    </row>
    <row r="45" spans="1:9" ht="12.75">
      <c r="A45" s="83"/>
      <c r="B45" s="85"/>
      <c r="C45" s="83"/>
      <c r="D45" s="102"/>
      <c r="E45" s="102"/>
      <c r="F45" s="83"/>
      <c r="G45" s="228"/>
      <c r="H45" s="228"/>
      <c r="I45" s="83"/>
    </row>
    <row r="46" spans="1:9" ht="18">
      <c r="A46" s="83"/>
      <c r="B46" s="85"/>
      <c r="C46" s="394">
        <f>'C. Masterfiles'!D103</f>
        <v>2010</v>
      </c>
      <c r="D46" s="83"/>
      <c r="E46" s="83"/>
      <c r="F46" s="83"/>
      <c r="G46" s="88"/>
      <c r="H46" s="83"/>
      <c r="I46" s="83"/>
    </row>
    <row r="47" spans="2:13" s="83" customFormat="1" ht="12.75">
      <c r="B47" s="85"/>
      <c r="G47" s="658" t="str">
        <f>'C. Masterfiles'!D$110</f>
        <v>Euro</v>
      </c>
      <c r="H47" s="710"/>
      <c r="I47" s="678"/>
      <c r="K47" s="658" t="str">
        <f>'C. Masterfiles'!D$112</f>
        <v>Moldova Lei</v>
      </c>
      <c r="L47" s="710"/>
      <c r="M47" s="678"/>
    </row>
    <row r="48" spans="1:13" ht="12.75">
      <c r="A48" s="83"/>
      <c r="B48" s="85"/>
      <c r="C48" s="103"/>
      <c r="D48" s="103" t="str">
        <f>'8.Routing factors'!D68</f>
        <v>Service</v>
      </c>
      <c r="E48" s="90" t="s">
        <v>652</v>
      </c>
      <c r="F48" s="83"/>
      <c r="G48" s="92" t="s">
        <v>579</v>
      </c>
      <c r="H48" s="92" t="s">
        <v>580</v>
      </c>
      <c r="I48" s="92" t="s">
        <v>581</v>
      </c>
      <c r="K48" s="92" t="s">
        <v>579</v>
      </c>
      <c r="L48" s="92" t="s">
        <v>580</v>
      </c>
      <c r="M48" s="92" t="s">
        <v>581</v>
      </c>
    </row>
    <row r="49" spans="1:13" ht="12.75">
      <c r="A49" s="83"/>
      <c r="B49" s="85"/>
      <c r="C49" s="291" t="str">
        <f>'C. Masterfiles'!C84</f>
        <v>S01</v>
      </c>
      <c r="D49" s="291" t="str">
        <f>'C. Masterfiles'!D84</f>
        <v>On-net local calls</v>
      </c>
      <c r="E49" s="291" t="str">
        <f>'C. Masterfiles'!E84</f>
        <v>Voice Minutes</v>
      </c>
      <c r="F49" s="104"/>
      <c r="G49" s="398">
        <f>'9.Service costing'!AA50</f>
        <v>0.019363632682734652</v>
      </c>
      <c r="H49" s="392">
        <f>IF(G49="","",G49*'10.Mark ups'!H$32)</f>
        <v>0.0022862756409594656</v>
      </c>
      <c r="I49" s="393">
        <f>IF(G49="","",G49+H49)</f>
        <v>0.02164990832369412</v>
      </c>
      <c r="K49" s="393">
        <f>IF(G49="","",G49*'C. Masterfiles'!$E$112)</f>
        <v>0.3127226678261646</v>
      </c>
      <c r="L49" s="393">
        <f>IF(G49="","",H49*'C. Masterfiles'!$E$112)</f>
        <v>0.03692335160149537</v>
      </c>
      <c r="M49" s="393">
        <f>IF(G49="","",I49*'C. Masterfiles'!$E$112)</f>
        <v>0.34964601942766</v>
      </c>
    </row>
    <row r="50" spans="1:13" ht="12.75" outlineLevel="1">
      <c r="A50" s="83"/>
      <c r="B50" s="85"/>
      <c r="C50" s="291" t="str">
        <f>'C. Masterfiles'!C85</f>
        <v>S02</v>
      </c>
      <c r="D50" s="291" t="str">
        <f>'C. Masterfiles'!D85</f>
        <v>On-net national calls</v>
      </c>
      <c r="E50" s="291" t="str">
        <f>'C. Masterfiles'!E85</f>
        <v>Voice Minutes</v>
      </c>
      <c r="F50" s="104"/>
      <c r="G50" s="398">
        <f>'9.Service costing'!AA51</f>
        <v>0.04471857239992293</v>
      </c>
      <c r="H50" s="392">
        <f>IF(G50="","",G50*'10.Mark ups'!H$32)</f>
        <v>0.005279948471011135</v>
      </c>
      <c r="I50" s="393">
        <f aca="true" t="shared" si="2" ref="I50:I60">IF(G50="","",G50+H50)</f>
        <v>0.049998520870934066</v>
      </c>
      <c r="K50" s="393">
        <f>IF(G50="","",G50*'C. Masterfiles'!$E$112)</f>
        <v>0.7222049442587553</v>
      </c>
      <c r="L50" s="393">
        <f>IF(G50="","",H50*'C. Masterfiles'!$E$112)</f>
        <v>0.08527116780682982</v>
      </c>
      <c r="M50" s="393">
        <f>IF(G50="","",I50*'C. Masterfiles'!$E$112)</f>
        <v>0.8074761120655851</v>
      </c>
    </row>
    <row r="51" spans="1:13" ht="12.75" outlineLevel="1">
      <c r="A51" s="83"/>
      <c r="B51" s="85"/>
      <c r="C51" s="291" t="str">
        <f>'C. Masterfiles'!C86</f>
        <v>S03</v>
      </c>
      <c r="D51" s="291" t="str">
        <f>'C. Masterfiles'!D86</f>
        <v>Originating calls (local)</v>
      </c>
      <c r="E51" s="291" t="str">
        <f>'C. Masterfiles'!E86</f>
        <v>Voice Minutes</v>
      </c>
      <c r="F51" s="104"/>
      <c r="G51" s="398">
        <f>'9.Service costing'!AA52</f>
        <v>0.005623307038460079</v>
      </c>
      <c r="H51" s="392">
        <f>IF(G51="","",G51*'10.Mark ups'!H$32)</f>
        <v>0.0006639472104390035</v>
      </c>
      <c r="I51" s="393">
        <f t="shared" si="2"/>
        <v>0.006287254248899083</v>
      </c>
      <c r="K51" s="393">
        <f>IF(G51="","",G51*'C. Masterfiles'!$E$112)</f>
        <v>0.09081640867113026</v>
      </c>
      <c r="L51" s="393">
        <f>IF(G51="","",H51*'C. Masterfiles'!$E$112)</f>
        <v>0.010722747448589906</v>
      </c>
      <c r="M51" s="393">
        <f>IF(G51="","",I51*'C. Masterfiles'!$E$112)</f>
        <v>0.10153915611972017</v>
      </c>
    </row>
    <row r="52" spans="1:13" ht="12.75" outlineLevel="1">
      <c r="A52" s="83"/>
      <c r="B52" s="85"/>
      <c r="C52" s="291" t="str">
        <f>'C. Masterfiles'!C87</f>
        <v>S04</v>
      </c>
      <c r="D52" s="291" t="str">
        <f>'C. Masterfiles'!D87</f>
        <v>Originating calls (national) </v>
      </c>
      <c r="E52" s="291" t="str">
        <f>'C. Masterfiles'!E87</f>
        <v>Voice Minutes</v>
      </c>
      <c r="F52" s="104"/>
      <c r="G52" s="398">
        <f>'9.Service costing'!AA53</f>
        <v>0.02813326749368352</v>
      </c>
      <c r="H52" s="392">
        <f>IF(G52="","",G52*'10.Mark ups'!H$32)</f>
        <v>0.0033217116449826014</v>
      </c>
      <c r="I52" s="393">
        <f t="shared" si="2"/>
        <v>0.03145497913866612</v>
      </c>
      <c r="K52" s="393">
        <f>IF(G52="","",G52*'C. Masterfiles'!$E$112)</f>
        <v>0.45435227002298884</v>
      </c>
      <c r="L52" s="393">
        <f>IF(G52="","",H52*'C. Masterfiles'!$E$112)</f>
        <v>0.05364564306646901</v>
      </c>
      <c r="M52" s="393">
        <f>IF(G52="","",I52*'C. Masterfiles'!$E$112)</f>
        <v>0.5079979130894579</v>
      </c>
    </row>
    <row r="53" spans="1:13" ht="12.75" outlineLevel="1">
      <c r="A53" s="83"/>
      <c r="B53" s="85"/>
      <c r="C53" s="291" t="str">
        <f>'C. Masterfiles'!C88</f>
        <v>S05</v>
      </c>
      <c r="D53" s="291" t="str">
        <f>'C. Masterfiles'!D88</f>
        <v>Originating calls (international)</v>
      </c>
      <c r="E53" s="291" t="str">
        <f>'C. Masterfiles'!E88</f>
        <v>Voice Minutes</v>
      </c>
      <c r="F53" s="104"/>
      <c r="G53" s="398">
        <f>'9.Service costing'!AA54</f>
        <v>0.023780401331418927</v>
      </c>
      <c r="H53" s="392">
        <f>IF(G53="","",G53*'10.Mark ups'!H$32)</f>
        <v>0.002807766145282243</v>
      </c>
      <c r="I53" s="393">
        <f t="shared" si="2"/>
        <v>0.02658816747670117</v>
      </c>
      <c r="K53" s="393">
        <f>IF(G53="","",G53*'C. Masterfiles'!$E$112)</f>
        <v>0.38405348150241564</v>
      </c>
      <c r="L53" s="393">
        <f>IF(G53="","",H53*'C. Masterfiles'!$E$112)</f>
        <v>0.04534542324630822</v>
      </c>
      <c r="M53" s="393">
        <f>IF(G53="","",I53*'C. Masterfiles'!$E$112)</f>
        <v>0.4293989047487239</v>
      </c>
    </row>
    <row r="54" spans="1:13" ht="12.75" outlineLevel="1">
      <c r="A54" s="83"/>
      <c r="B54" s="85"/>
      <c r="C54" s="291" t="str">
        <f>'C. Masterfiles'!C89</f>
        <v>S06</v>
      </c>
      <c r="D54" s="291" t="str">
        <f>'C. Masterfiles'!D89</f>
        <v>Terminating calls (local)</v>
      </c>
      <c r="E54" s="291" t="str">
        <f>'C. Masterfiles'!E89</f>
        <v>Voice Minutes</v>
      </c>
      <c r="F54" s="104"/>
      <c r="G54" s="398">
        <f>'9.Service costing'!AA55</f>
        <v>0.006012485943023246</v>
      </c>
      <c r="H54" s="392">
        <f>IF(G54="","",G54*'10.Mark ups'!H$32)</f>
        <v>0.0007098977954380368</v>
      </c>
      <c r="I54" s="393">
        <f t="shared" si="2"/>
        <v>0.006722383738461283</v>
      </c>
      <c r="K54" s="393">
        <f>IF(G54="","",G54*'C. Masterfiles'!$E$112)</f>
        <v>0.09710164797982541</v>
      </c>
      <c r="L54" s="393">
        <f>IF(G54="","",H54*'C. Masterfiles'!$E$112)</f>
        <v>0.011464849396324292</v>
      </c>
      <c r="M54" s="393">
        <f>IF(G54="","",I54*'C. Masterfiles'!$E$112)</f>
        <v>0.1085664973761497</v>
      </c>
    </row>
    <row r="55" spans="1:13" ht="12.75" outlineLevel="1">
      <c r="A55" s="83"/>
      <c r="B55" s="85"/>
      <c r="C55" s="291" t="str">
        <f>'C. Masterfiles'!C90</f>
        <v>S07</v>
      </c>
      <c r="D55" s="291" t="str">
        <f>'C. Masterfiles'!D90</f>
        <v>Terminating calls (national) </v>
      </c>
      <c r="E55" s="291" t="str">
        <f>'C. Masterfiles'!E90</f>
        <v>Voice Minutes</v>
      </c>
      <c r="F55" s="104"/>
      <c r="G55" s="398">
        <f>'9.Service costing'!AA56</f>
        <v>0.028637632506958312</v>
      </c>
      <c r="H55" s="392">
        <f>IF(G55="","",G55*'10.Mark ups'!H$32)</f>
        <v>0.0033812623224249863</v>
      </c>
      <c r="I55" s="393">
        <f t="shared" si="2"/>
        <v>0.0320188948293833</v>
      </c>
      <c r="K55" s="393">
        <f>IF(G55="","",G55*'C. Masterfiles'!$E$112)</f>
        <v>0.4624977649873767</v>
      </c>
      <c r="L55" s="393">
        <f>IF(G55="","",H55*'C. Masterfiles'!$E$112)</f>
        <v>0.05460738650716353</v>
      </c>
      <c r="M55" s="393">
        <f>IF(G55="","",I55*'C. Masterfiles'!$E$112)</f>
        <v>0.5171051514945402</v>
      </c>
    </row>
    <row r="56" spans="1:13" ht="12.75" outlineLevel="1">
      <c r="A56" s="83"/>
      <c r="B56" s="85"/>
      <c r="C56" s="291" t="str">
        <f>'C. Masterfiles'!C91</f>
        <v>S08</v>
      </c>
      <c r="D56" s="291" t="str">
        <f>'C. Masterfiles'!D91</f>
        <v>Terminating calls (international)</v>
      </c>
      <c r="E56" s="291" t="str">
        <f>'C. Masterfiles'!E91</f>
        <v>Voice Minutes</v>
      </c>
      <c r="F56" s="104"/>
      <c r="G56" s="398">
        <f>'9.Service costing'!AA57</f>
        <v>0.024214825102618503</v>
      </c>
      <c r="H56" s="392">
        <f>IF(G56="","",G56*'10.Mark ups'!H$32)</f>
        <v>0.002859058818626172</v>
      </c>
      <c r="I56" s="393">
        <f t="shared" si="2"/>
        <v>0.027073883921244674</v>
      </c>
      <c r="K56" s="393">
        <f>IF(G56="","",G56*'C. Masterfiles'!$E$112)</f>
        <v>0.3910694254072888</v>
      </c>
      <c r="L56" s="393">
        <f>IF(G56="","",H56*'C. Masterfiles'!$E$112)</f>
        <v>0.04617379992081267</v>
      </c>
      <c r="M56" s="393">
        <f>IF(G56="","",I56*'C. Masterfiles'!$E$112)</f>
        <v>0.43724322532810145</v>
      </c>
    </row>
    <row r="57" spans="1:13" ht="12.75" outlineLevel="1">
      <c r="A57" s="83"/>
      <c r="B57" s="85"/>
      <c r="C57" s="291" t="str">
        <f>'C. Masterfiles'!C92</f>
        <v>S09</v>
      </c>
      <c r="D57" s="291" t="str">
        <f>'C. Masterfiles'!D92</f>
        <v>Transit calls</v>
      </c>
      <c r="E57" s="291" t="str">
        <f>'C. Masterfiles'!E92</f>
        <v>Voice Minutes</v>
      </c>
      <c r="F57" s="104"/>
      <c r="G57" s="398">
        <f>'9.Service costing'!AA58</f>
        <v>0.02683084160470476</v>
      </c>
      <c r="H57" s="392">
        <f>IF(G57="","",G57*'10.Mark ups'!H$32)</f>
        <v>0.003167933444739103</v>
      </c>
      <c r="I57" s="393">
        <f t="shared" si="2"/>
        <v>0.029998775049443864</v>
      </c>
      <c r="K57" s="393">
        <f>IF(G57="","",G57*'C. Masterfiles'!$E$112)</f>
        <v>0.4333180919159818</v>
      </c>
      <c r="L57" s="393">
        <f>IF(G57="","",H57*'C. Masterfiles'!$E$112)</f>
        <v>0.05116212513253651</v>
      </c>
      <c r="M57" s="393">
        <f>IF(G57="","",I57*'C. Masterfiles'!$E$112)</f>
        <v>0.48448021704851835</v>
      </c>
    </row>
    <row r="58" spans="1:13" ht="12.75" outlineLevel="1">
      <c r="A58" s="83"/>
      <c r="B58" s="85"/>
      <c r="C58" s="291" t="str">
        <f>'C. Masterfiles'!C93</f>
        <v>S10</v>
      </c>
      <c r="D58" s="291" t="str">
        <f>'C. Masterfiles'!D93</f>
        <v>Calls to directory enquiries, emergency &amp; helpdesk</v>
      </c>
      <c r="E58" s="291" t="str">
        <f>'C. Masterfiles'!E93</f>
        <v>Voice Minutes</v>
      </c>
      <c r="F58" s="104"/>
      <c r="G58" s="398">
        <f>'9.Service costing'!AA59</f>
        <v>0.5688170709397844</v>
      </c>
      <c r="H58" s="392">
        <f>IF(G58="","",G58*'10.Mark ups'!H$32)</f>
        <v>0.06716057026898119</v>
      </c>
      <c r="I58" s="393">
        <f t="shared" si="2"/>
        <v>0.6359776412087655</v>
      </c>
      <c r="K58" s="393">
        <f>IF(G58="","",G58*'C. Masterfiles'!$E$112)</f>
        <v>9.186395695677517</v>
      </c>
      <c r="L58" s="393">
        <f>IF(G58="","",H58*'C. Masterfiles'!$E$112)</f>
        <v>1.0846432098440462</v>
      </c>
      <c r="M58" s="393">
        <f>IF(G58="","",I58*'C. Masterfiles'!$E$112)</f>
        <v>10.271038905521563</v>
      </c>
    </row>
    <row r="59" spans="1:13" ht="12.75" outlineLevel="1">
      <c r="A59" s="83"/>
      <c r="B59" s="85"/>
      <c r="C59" s="291" t="str">
        <f>'C. Masterfiles'!C94</f>
        <v>S11</v>
      </c>
      <c r="D59" s="291" t="str">
        <f>'C. Masterfiles'!D94</f>
        <v>Calls to non-geographic numbers</v>
      </c>
      <c r="E59" s="291" t="str">
        <f>'C. Masterfiles'!E94</f>
        <v>Voice Minutes</v>
      </c>
      <c r="F59" s="104"/>
      <c r="G59" s="398">
        <f>'9.Service costing'!AA60</f>
        <v>0.5042892602504231</v>
      </c>
      <c r="H59" s="392">
        <f>IF(G59="","",G59*'10.Mark ups'!H$32)</f>
        <v>0.059541733237690436</v>
      </c>
      <c r="I59" s="393">
        <f t="shared" si="2"/>
        <v>0.5638309934881135</v>
      </c>
      <c r="K59" s="393">
        <f>IF(G59="","",G59*'C. Masterfiles'!$E$112)</f>
        <v>8.144271553044332</v>
      </c>
      <c r="L59" s="393">
        <f>IF(G59="","",H59*'C. Masterfiles'!$E$112)</f>
        <v>0.9615989917887005</v>
      </c>
      <c r="M59" s="393">
        <f>IF(G59="","",I59*'C. Masterfiles'!$E$112)</f>
        <v>9.105870544833031</v>
      </c>
    </row>
    <row r="60" spans="1:13" ht="12.75" outlineLevel="1">
      <c r="A60" s="83"/>
      <c r="B60" s="85"/>
      <c r="C60" s="291" t="str">
        <f>'C. Masterfiles'!C95</f>
        <v>S12</v>
      </c>
      <c r="D60" s="291" t="str">
        <f>'C. Masterfiles'!D95</f>
        <v>Internet dial-up calls</v>
      </c>
      <c r="E60" s="291" t="str">
        <f>'C. Masterfiles'!E95</f>
        <v>Voice Minutes</v>
      </c>
      <c r="F60" s="104"/>
      <c r="G60" s="398">
        <f>'9.Service costing'!AA61</f>
        <v>0.02160787083941275</v>
      </c>
      <c r="H60" s="392">
        <f>IF(G60="","",G60*'10.Mark ups'!H$32)</f>
        <v>0.0025512541764539883</v>
      </c>
      <c r="I60" s="393">
        <f t="shared" si="2"/>
        <v>0.02415912501586674</v>
      </c>
      <c r="K60" s="393">
        <f>IF(G60="","",G60*'C. Masterfiles'!$E$112)</f>
        <v>0.34896711405651587</v>
      </c>
      <c r="L60" s="393">
        <f>IF(G60="","",H60*'C. Masterfiles'!$E$112)</f>
        <v>0.041202754949731905</v>
      </c>
      <c r="M60" s="393">
        <f>IF(G60="","",I60*'C. Masterfiles'!$E$112)</f>
        <v>0.3901698690062478</v>
      </c>
    </row>
    <row r="61" spans="1:9" ht="12.75">
      <c r="A61" s="83"/>
      <c r="B61" s="85"/>
      <c r="C61" s="85"/>
      <c r="D61" s="85"/>
      <c r="E61" s="395"/>
      <c r="F61" s="104"/>
      <c r="G61" s="396"/>
      <c r="H61" s="396"/>
      <c r="I61" s="397"/>
    </row>
    <row r="62" spans="1:9" ht="12.75">
      <c r="A62" s="83"/>
      <c r="B62" s="85"/>
      <c r="C62" s="83"/>
      <c r="D62" s="102"/>
      <c r="E62" s="102"/>
      <c r="F62" s="83"/>
      <c r="G62" s="228"/>
      <c r="H62" s="228"/>
      <c r="I62" s="83"/>
    </row>
    <row r="63" spans="3:8" ht="18">
      <c r="C63" s="394">
        <f>'C. Masterfiles'!D104</f>
        <v>2011</v>
      </c>
      <c r="D63" s="83"/>
      <c r="E63" s="83"/>
      <c r="H63" s="230"/>
    </row>
    <row r="64" spans="2:13" s="83" customFormat="1" ht="12.75">
      <c r="B64" s="85"/>
      <c r="G64" s="658" t="str">
        <f>'C. Masterfiles'!D$110</f>
        <v>Euro</v>
      </c>
      <c r="H64" s="710"/>
      <c r="I64" s="678"/>
      <c r="K64" s="658" t="str">
        <f>'C. Masterfiles'!D$112</f>
        <v>Moldova Lei</v>
      </c>
      <c r="L64" s="710"/>
      <c r="M64" s="678"/>
    </row>
    <row r="65" spans="1:13" ht="12.75">
      <c r="A65" s="83"/>
      <c r="B65" s="85"/>
      <c r="C65" s="103"/>
      <c r="D65" s="103" t="str">
        <f>'8.Routing factors'!D86</f>
        <v>Service</v>
      </c>
      <c r="E65" s="213" t="s">
        <v>652</v>
      </c>
      <c r="F65" s="83"/>
      <c r="G65" s="92" t="s">
        <v>579</v>
      </c>
      <c r="H65" s="92" t="s">
        <v>580</v>
      </c>
      <c r="I65" s="92" t="s">
        <v>581</v>
      </c>
      <c r="K65" s="92" t="s">
        <v>579</v>
      </c>
      <c r="L65" s="92" t="s">
        <v>580</v>
      </c>
      <c r="M65" s="92" t="s">
        <v>581</v>
      </c>
    </row>
    <row r="66" spans="1:13" ht="12.75">
      <c r="A66" s="83"/>
      <c r="B66" s="85"/>
      <c r="C66" s="291" t="str">
        <f>'C. Masterfiles'!C84</f>
        <v>S01</v>
      </c>
      <c r="D66" s="291" t="str">
        <f>'C. Masterfiles'!D84</f>
        <v>On-net local calls</v>
      </c>
      <c r="E66" s="291" t="str">
        <f>'C. Masterfiles'!E84</f>
        <v>Voice Minutes</v>
      </c>
      <c r="F66" s="104"/>
      <c r="G66" s="398">
        <f>'9.Service costing'!AA68</f>
        <v>0.018758616163606155</v>
      </c>
      <c r="H66" s="392">
        <f>IF(G66="","",G66*'10.Mark ups'!I$32)</f>
        <v>0.0024286147411878294</v>
      </c>
      <c r="I66" s="393">
        <f>IF(G66="","",G66+H66)</f>
        <v>0.021187230904793984</v>
      </c>
      <c r="K66" s="393">
        <f>IF(G66="","",G66*'C. Masterfiles'!$E$112)</f>
        <v>0.30295165104223937</v>
      </c>
      <c r="L66" s="393">
        <f>IF(G66="","",H66*'C. Masterfiles'!$E$112)</f>
        <v>0.039222128070183444</v>
      </c>
      <c r="M66" s="393">
        <f>IF(G66="","",I66*'C. Masterfiles'!$E$112)</f>
        <v>0.3421737791124228</v>
      </c>
    </row>
    <row r="67" spans="1:13" ht="12.75" outlineLevel="1">
      <c r="A67" s="83"/>
      <c r="B67" s="85"/>
      <c r="C67" s="291" t="str">
        <f>'C. Masterfiles'!C85</f>
        <v>S02</v>
      </c>
      <c r="D67" s="291" t="str">
        <f>'C. Masterfiles'!D85</f>
        <v>On-net national calls</v>
      </c>
      <c r="E67" s="291" t="str">
        <f>'C. Masterfiles'!E85</f>
        <v>Voice Minutes</v>
      </c>
      <c r="F67" s="104"/>
      <c r="G67" s="398">
        <f>'9.Service costing'!AA69</f>
        <v>0.042671851778908636</v>
      </c>
      <c r="H67" s="392">
        <f>IF(G67="","",G67*'10.Mark ups'!I$32)</f>
        <v>0.005524580670566752</v>
      </c>
      <c r="I67" s="393">
        <f aca="true" t="shared" si="3" ref="I67:I77">IF(G67="","",G67+H67)</f>
        <v>0.048196432449475385</v>
      </c>
      <c r="K67" s="393">
        <f>IF(G67="","",G67*'C. Masterfiles'!$E$112)</f>
        <v>0.6891504062293744</v>
      </c>
      <c r="L67" s="393">
        <f>IF(G67="","",H67*'C. Masterfiles'!$E$112)</f>
        <v>0.08922197782965303</v>
      </c>
      <c r="M67" s="393">
        <f>IF(G67="","",I67*'C. Masterfiles'!$E$112)</f>
        <v>0.7783723840590274</v>
      </c>
    </row>
    <row r="68" spans="1:13" ht="12.75" outlineLevel="1">
      <c r="A68" s="83"/>
      <c r="B68" s="85"/>
      <c r="C68" s="291" t="str">
        <f>'C. Masterfiles'!C86</f>
        <v>S03</v>
      </c>
      <c r="D68" s="291" t="str">
        <f>'C. Masterfiles'!D86</f>
        <v>Originating calls (local)</v>
      </c>
      <c r="E68" s="291" t="str">
        <f>'C. Masterfiles'!E86</f>
        <v>Voice Minutes</v>
      </c>
      <c r="F68" s="104"/>
      <c r="G68" s="398">
        <f>'9.Service costing'!AA70</f>
        <v>0.00562975946905672</v>
      </c>
      <c r="H68" s="392">
        <f>IF(G68="","",G68*'10.Mark ups'!I$32)</f>
        <v>0.0007288659630671026</v>
      </c>
      <c r="I68" s="393">
        <f t="shared" si="3"/>
        <v>0.0063586254321238225</v>
      </c>
      <c r="K68" s="393">
        <f>IF(G68="","",G68*'C. Masterfiles'!$E$112)</f>
        <v>0.09092061542526603</v>
      </c>
      <c r="L68" s="393">
        <f>IF(G68="","",H68*'C. Masterfiles'!$E$112)</f>
        <v>0.011771185303533707</v>
      </c>
      <c r="M68" s="393">
        <f>IF(G68="","",I68*'C. Masterfiles'!$E$112)</f>
        <v>0.10269180072879973</v>
      </c>
    </row>
    <row r="69" spans="1:13" ht="12.75" outlineLevel="1">
      <c r="A69" s="83"/>
      <c r="B69" s="85"/>
      <c r="C69" s="291" t="str">
        <f>'C. Masterfiles'!C87</f>
        <v>S04</v>
      </c>
      <c r="D69" s="291" t="str">
        <f>'C. Masterfiles'!D87</f>
        <v>Originating calls (national) </v>
      </c>
      <c r="E69" s="291" t="str">
        <f>'C. Masterfiles'!E87</f>
        <v>Voice Minutes</v>
      </c>
      <c r="F69" s="104"/>
      <c r="G69" s="398">
        <f>'9.Service costing'!AA71</f>
        <v>0.026954234649983044</v>
      </c>
      <c r="H69" s="392">
        <f>IF(G69="","",G69*'10.Mark ups'!I$32)</f>
        <v>0.003489673813753236</v>
      </c>
      <c r="I69" s="393">
        <f t="shared" si="3"/>
        <v>0.03044390846373628</v>
      </c>
      <c r="K69" s="393">
        <f>IF(G69="","",G69*'C. Masterfiles'!$E$112)</f>
        <v>0.43531088959722614</v>
      </c>
      <c r="L69" s="393">
        <f>IF(G69="","",H69*'C. Masterfiles'!$E$112)</f>
        <v>0.056358232092114754</v>
      </c>
      <c r="M69" s="393">
        <f>IF(G69="","",I69*'C. Masterfiles'!$E$112)</f>
        <v>0.4916691216893409</v>
      </c>
    </row>
    <row r="70" spans="1:13" ht="12.75" outlineLevel="1">
      <c r="A70" s="83"/>
      <c r="B70" s="85"/>
      <c r="C70" s="291" t="str">
        <f>'C. Masterfiles'!C88</f>
        <v>S05</v>
      </c>
      <c r="D70" s="291" t="str">
        <f>'C. Masterfiles'!D88</f>
        <v>Originating calls (international)</v>
      </c>
      <c r="E70" s="291" t="str">
        <f>'C. Masterfiles'!E88</f>
        <v>Voice Minutes</v>
      </c>
      <c r="F70" s="104"/>
      <c r="G70" s="398">
        <f>'9.Service costing'!AA72</f>
        <v>0.022759871607599014</v>
      </c>
      <c r="H70" s="392">
        <f>IF(G70="","",G70*'10.Mark ups'!I$32)</f>
        <v>0.002946643782871201</v>
      </c>
      <c r="I70" s="393">
        <f t="shared" si="3"/>
        <v>0.025706515390470214</v>
      </c>
      <c r="K70" s="393">
        <f>IF(G70="","",G70*'C. Masterfiles'!$E$112)</f>
        <v>0.367571926462724</v>
      </c>
      <c r="L70" s="393">
        <f>IF(G70="","",H70*'C. Masterfiles'!$E$112)</f>
        <v>0.0475882970933699</v>
      </c>
      <c r="M70" s="393">
        <f>IF(G70="","",I70*'C. Masterfiles'!$E$112)</f>
        <v>0.41516022355609394</v>
      </c>
    </row>
    <row r="71" spans="1:13" ht="12.75" outlineLevel="1">
      <c r="A71" s="83"/>
      <c r="B71" s="85"/>
      <c r="C71" s="291" t="str">
        <f>'C. Masterfiles'!C89</f>
        <v>S06</v>
      </c>
      <c r="D71" s="291" t="str">
        <f>'C. Masterfiles'!D89</f>
        <v>Terminating calls (local)</v>
      </c>
      <c r="E71" s="291" t="str">
        <f>'C. Masterfiles'!E89</f>
        <v>Voice Minutes</v>
      </c>
      <c r="F71" s="104"/>
      <c r="G71" s="398">
        <f>'9.Service costing'!AA73</f>
        <v>0.006024972304714885</v>
      </c>
      <c r="H71" s="392">
        <f>IF(G71="","",G71*'10.Mark ups'!I$32)</f>
        <v>0.000780032835410715</v>
      </c>
      <c r="I71" s="393">
        <f t="shared" si="3"/>
        <v>0.006805005140125601</v>
      </c>
      <c r="K71" s="393">
        <f>IF(G71="","",G71*'C. Masterfiles'!$E$112)</f>
        <v>0.09730330272114539</v>
      </c>
      <c r="L71" s="393">
        <f>IF(G71="","",H71*'C. Masterfiles'!$E$112)</f>
        <v>0.012597530291883046</v>
      </c>
      <c r="M71" s="393">
        <f>IF(G71="","",I71*'C. Masterfiles'!$E$112)</f>
        <v>0.10990083301302844</v>
      </c>
    </row>
    <row r="72" spans="1:13" ht="12.75" outlineLevel="1">
      <c r="A72" s="83"/>
      <c r="B72" s="85"/>
      <c r="C72" s="291" t="str">
        <f>'C. Masterfiles'!C90</f>
        <v>S07</v>
      </c>
      <c r="D72" s="291" t="str">
        <f>'C. Masterfiles'!D90</f>
        <v>Terminating calls (national) </v>
      </c>
      <c r="E72" s="291" t="str">
        <f>'C. Masterfiles'!E90</f>
        <v>Voice Minutes</v>
      </c>
      <c r="F72" s="104"/>
      <c r="G72" s="398">
        <f>'9.Service costing'!AA74</f>
        <v>0.027465746404433614</v>
      </c>
      <c r="H72" s="392">
        <f>IF(G72="","",G72*'10.Mark ups'!I$32)</f>
        <v>0.0035558975147083013</v>
      </c>
      <c r="I72" s="393">
        <f t="shared" si="3"/>
        <v>0.031021643919141917</v>
      </c>
      <c r="K72" s="393">
        <f>IF(G72="","",G72*'C. Masterfiles'!$E$112)</f>
        <v>0.4435718044316028</v>
      </c>
      <c r="L72" s="393">
        <f>IF(G72="","",H72*'C. Masterfiles'!$E$112)</f>
        <v>0.057427744862539064</v>
      </c>
      <c r="M72" s="393">
        <f>IF(G72="","",I72*'C. Masterfiles'!$E$112)</f>
        <v>0.5009995492941419</v>
      </c>
    </row>
    <row r="73" spans="1:13" ht="12.75" outlineLevel="1">
      <c r="A73" s="83"/>
      <c r="B73" s="85"/>
      <c r="C73" s="291" t="str">
        <f>'C. Masterfiles'!C91</f>
        <v>S08</v>
      </c>
      <c r="D73" s="291" t="str">
        <f>'C. Masterfiles'!D91</f>
        <v>Terminating calls (international)</v>
      </c>
      <c r="E73" s="291" t="str">
        <f>'C. Masterfiles'!E91</f>
        <v>Voice Minutes</v>
      </c>
      <c r="F73" s="104"/>
      <c r="G73" s="398">
        <f>'9.Service costing'!AA75</f>
        <v>0.023200451067975383</v>
      </c>
      <c r="H73" s="392">
        <f>IF(G73="","",G73*'10.Mark ups'!I$32)</f>
        <v>0.003003684119045388</v>
      </c>
      <c r="I73" s="393">
        <f t="shared" si="3"/>
        <v>0.02620413518702077</v>
      </c>
      <c r="K73" s="393">
        <f>IF(G73="","",G73*'C. Masterfiles'!$E$112)</f>
        <v>0.3746872847478024</v>
      </c>
      <c r="L73" s="393">
        <f>IF(G73="","",H73*'C. Masterfiles'!$E$112)</f>
        <v>0.04850949852258302</v>
      </c>
      <c r="M73" s="393">
        <f>IF(G73="","",I73*'C. Masterfiles'!$E$112)</f>
        <v>0.4231967832703854</v>
      </c>
    </row>
    <row r="74" spans="1:13" ht="12.75" outlineLevel="1">
      <c r="A74" s="83"/>
      <c r="B74" s="85"/>
      <c r="C74" s="291" t="str">
        <f>'C. Masterfiles'!C92</f>
        <v>S09</v>
      </c>
      <c r="D74" s="291" t="str">
        <f>'C. Masterfiles'!D92</f>
        <v>Transit calls</v>
      </c>
      <c r="E74" s="291" t="str">
        <f>'C. Masterfiles'!E92</f>
        <v>Voice Minutes</v>
      </c>
      <c r="F74" s="104"/>
      <c r="G74" s="398">
        <f>'9.Service costing'!AA76</f>
        <v>0.025561249375651754</v>
      </c>
      <c r="H74" s="392">
        <f>IF(G74="","",G74*'10.Mark ups'!I$32)</f>
        <v>0.0033093287103621877</v>
      </c>
      <c r="I74" s="393">
        <f t="shared" si="3"/>
        <v>0.02887057808601394</v>
      </c>
      <c r="K74" s="393">
        <f>IF(G74="","",G74*'C. Masterfiles'!$E$112)</f>
        <v>0.4128141774167758</v>
      </c>
      <c r="L74" s="393">
        <f>IF(G74="","",H74*'C. Masterfiles'!$E$112)</f>
        <v>0.05344565867234933</v>
      </c>
      <c r="M74" s="393">
        <f>IF(G74="","",I74*'C. Masterfiles'!$E$112)</f>
        <v>0.4662598360891251</v>
      </c>
    </row>
    <row r="75" spans="1:13" ht="12.75" outlineLevel="1">
      <c r="A75" s="83"/>
      <c r="B75" s="85"/>
      <c r="C75" s="291" t="str">
        <f>'C. Masterfiles'!C93</f>
        <v>S10</v>
      </c>
      <c r="D75" s="291" t="str">
        <f>'C. Masterfiles'!D93</f>
        <v>Calls to directory enquiries, emergency &amp; helpdesk</v>
      </c>
      <c r="E75" s="291" t="str">
        <f>'C. Masterfiles'!E93</f>
        <v>Voice Minutes</v>
      </c>
      <c r="F75" s="104"/>
      <c r="G75" s="398">
        <f>'9.Service costing'!AA77</f>
        <v>0.5753546051378698</v>
      </c>
      <c r="H75" s="392">
        <f>IF(G75="","",G75*'10.Mark ups'!I$32)</f>
        <v>0.07448921942115765</v>
      </c>
      <c r="I75" s="393">
        <f t="shared" si="3"/>
        <v>0.6498438245590274</v>
      </c>
      <c r="K75" s="393">
        <f>IF(G75="","",G75*'C. Masterfiles'!$E$112)</f>
        <v>9.291976872976598</v>
      </c>
      <c r="L75" s="393">
        <f>IF(G75="","",H75*'C. Masterfiles'!$E$112)</f>
        <v>1.2030008936516958</v>
      </c>
      <c r="M75" s="393">
        <f>IF(G75="","",I75*'C. Masterfiles'!$E$112)</f>
        <v>10.494977766628292</v>
      </c>
    </row>
    <row r="76" spans="1:13" ht="12.75" outlineLevel="1">
      <c r="A76" s="83"/>
      <c r="B76" s="85"/>
      <c r="C76" s="291" t="str">
        <f>'C. Masterfiles'!C94</f>
        <v>S11</v>
      </c>
      <c r="D76" s="291" t="str">
        <f>'C. Masterfiles'!D94</f>
        <v>Calls to non-geographic numbers</v>
      </c>
      <c r="E76" s="291" t="str">
        <f>'C. Masterfiles'!E94</f>
        <v>Voice Minutes</v>
      </c>
      <c r="F76" s="104"/>
      <c r="G76" s="398">
        <f>'9.Service costing'!AA78</f>
        <v>0.5100851627523773</v>
      </c>
      <c r="H76" s="392">
        <f>IF(G76="","",G76*'10.Mark ups'!I$32)</f>
        <v>0.0660390049413682</v>
      </c>
      <c r="I76" s="393">
        <f t="shared" si="3"/>
        <v>0.5761241676937454</v>
      </c>
      <c r="K76" s="393">
        <f>IF(G76="","",G76*'C. Masterfiles'!$E$112)</f>
        <v>8.237875378450893</v>
      </c>
      <c r="L76" s="393">
        <f>IF(G76="","",H76*'C. Masterfiles'!$E$112)</f>
        <v>1.0665299298030964</v>
      </c>
      <c r="M76" s="393">
        <f>IF(G76="","",I76*'C. Masterfiles'!$E$112)</f>
        <v>9.304405308253987</v>
      </c>
    </row>
    <row r="77" spans="1:13" ht="12.75" outlineLevel="1">
      <c r="A77" s="83"/>
      <c r="B77" s="85"/>
      <c r="C77" s="291" t="str">
        <f>'C. Masterfiles'!C95</f>
        <v>S12</v>
      </c>
      <c r="D77" s="291" t="str">
        <f>'C. Masterfiles'!D95</f>
        <v>Internet dial-up calls</v>
      </c>
      <c r="E77" s="291" t="str">
        <f>'C. Masterfiles'!E95</f>
        <v>Voice Minutes</v>
      </c>
      <c r="F77" s="104"/>
      <c r="G77" s="398">
        <f>'9.Service costing'!AA79</f>
        <v>0.020680574695299842</v>
      </c>
      <c r="H77" s="392">
        <f>IF(G77="","",G77*'10.Mark ups'!I$32)</f>
        <v>0.002677444227399017</v>
      </c>
      <c r="I77" s="393">
        <f t="shared" si="3"/>
        <v>0.02335801892269886</v>
      </c>
      <c r="K77" s="393">
        <f>IF(G77="","",G77*'C. Masterfiles'!$E$112)</f>
        <v>0.33399128132909245</v>
      </c>
      <c r="L77" s="393">
        <f>IF(G77="","",H77*'C. Masterfiles'!$E$112)</f>
        <v>0.04324072427249412</v>
      </c>
      <c r="M77" s="393">
        <f>IF(G77="","",I77*'C. Masterfiles'!$E$112)</f>
        <v>0.37723200560158654</v>
      </c>
    </row>
    <row r="78" spans="1:9" ht="12.75">
      <c r="A78" s="83"/>
      <c r="B78" s="85"/>
      <c r="C78" s="85"/>
      <c r="D78" s="85"/>
      <c r="E78" s="395"/>
      <c r="F78" s="104"/>
      <c r="G78" s="396"/>
      <c r="H78" s="396"/>
      <c r="I78" s="397"/>
    </row>
    <row r="79" spans="1:9" ht="12.75">
      <c r="A79" s="83"/>
      <c r="B79" s="85"/>
      <c r="C79" s="83"/>
      <c r="D79" s="102"/>
      <c r="E79" s="102"/>
      <c r="F79" s="83"/>
      <c r="G79" s="228"/>
      <c r="H79" s="228"/>
      <c r="I79" s="83"/>
    </row>
    <row r="80" spans="3:5" ht="18">
      <c r="C80" s="394">
        <f>'C. Masterfiles'!D105</f>
        <v>2012</v>
      </c>
      <c r="D80" s="83"/>
      <c r="E80" s="83"/>
    </row>
    <row r="81" spans="2:13" s="83" customFormat="1" ht="12.75">
      <c r="B81" s="85"/>
      <c r="G81" s="658" t="str">
        <f>'C. Masterfiles'!D$110</f>
        <v>Euro</v>
      </c>
      <c r="H81" s="710"/>
      <c r="I81" s="678"/>
      <c r="K81" s="658" t="str">
        <f>'C. Masterfiles'!D$112</f>
        <v>Moldova Lei</v>
      </c>
      <c r="L81" s="710"/>
      <c r="M81" s="678"/>
    </row>
    <row r="82" spans="1:13" ht="12.75">
      <c r="A82" s="83"/>
      <c r="B82" s="85"/>
      <c r="C82" s="103"/>
      <c r="D82" s="103" t="str">
        <f>'8.Routing factors'!D104</f>
        <v>Service</v>
      </c>
      <c r="E82" s="213" t="s">
        <v>652</v>
      </c>
      <c r="F82" s="83"/>
      <c r="G82" s="92" t="s">
        <v>579</v>
      </c>
      <c r="H82" s="92" t="s">
        <v>580</v>
      </c>
      <c r="I82" s="92" t="s">
        <v>581</v>
      </c>
      <c r="K82" s="92" t="s">
        <v>579</v>
      </c>
      <c r="L82" s="92" t="s">
        <v>580</v>
      </c>
      <c r="M82" s="92" t="s">
        <v>581</v>
      </c>
    </row>
    <row r="83" spans="1:13" ht="12.75">
      <c r="A83" s="83"/>
      <c r="B83" s="85"/>
      <c r="C83" s="291" t="str">
        <f>'C. Masterfiles'!C84</f>
        <v>S01</v>
      </c>
      <c r="D83" s="291" t="str">
        <f>'C. Masterfiles'!D84</f>
        <v>On-net local calls</v>
      </c>
      <c r="E83" s="291" t="str">
        <f>'C. Masterfiles'!E84</f>
        <v>Voice Minutes</v>
      </c>
      <c r="F83" s="104"/>
      <c r="G83" s="398">
        <f>'9.Service costing'!AA86</f>
        <v>0.01825639345811739</v>
      </c>
      <c r="H83" s="392">
        <f>IF(G83="","",G83*'10.Mark ups'!J$32)</f>
        <v>0.002617276273003321</v>
      </c>
      <c r="I83" s="393">
        <f>IF(G83="","",G83+H83)</f>
        <v>0.02087366973112071</v>
      </c>
      <c r="K83" s="393">
        <f>IF(G83="","",G83*'C. Masterfiles'!$E$112)</f>
        <v>0.29484075434859586</v>
      </c>
      <c r="L83" s="393">
        <f>IF(G83="","",H83*'C. Masterfiles'!$E$112)</f>
        <v>0.04226901180900363</v>
      </c>
      <c r="M83" s="393">
        <f>IF(G83="","",I83*'C. Masterfiles'!$E$112)</f>
        <v>0.3371097661575994</v>
      </c>
    </row>
    <row r="84" spans="1:13" ht="12.75" outlineLevel="1">
      <c r="A84" s="83"/>
      <c r="B84" s="85"/>
      <c r="C84" s="291" t="str">
        <f>'C. Masterfiles'!C85</f>
        <v>S02</v>
      </c>
      <c r="D84" s="291" t="str">
        <f>'C. Masterfiles'!D85</f>
        <v>On-net national calls</v>
      </c>
      <c r="E84" s="291" t="str">
        <f>'C. Masterfiles'!E85</f>
        <v>Voice Minutes</v>
      </c>
      <c r="F84" s="104"/>
      <c r="G84" s="398">
        <f>'9.Service costing'!AA87</f>
        <v>0.040740143025669445</v>
      </c>
      <c r="H84" s="392">
        <f>IF(G84="","",G84*'10.Mark ups'!J$32)</f>
        <v>0.0058405955121676</v>
      </c>
      <c r="I84" s="393">
        <f aca="true" t="shared" si="4" ref="I84:I94">IF(G84="","",G84+H84)</f>
        <v>0.04658073853783704</v>
      </c>
      <c r="K84" s="393">
        <f>IF(G84="","",G84*'C. Masterfiles'!$E$112)</f>
        <v>0.6579533098645615</v>
      </c>
      <c r="L84" s="393">
        <f>IF(G84="","",H84*'C. Masterfiles'!$E$112)</f>
        <v>0.09432561752150673</v>
      </c>
      <c r="M84" s="393">
        <f>IF(G84="","",I84*'C. Masterfiles'!$E$112)</f>
        <v>0.7522789273860682</v>
      </c>
    </row>
    <row r="85" spans="1:13" ht="12.75" outlineLevel="1">
      <c r="A85" s="83"/>
      <c r="B85" s="85"/>
      <c r="C85" s="291" t="str">
        <f>'C. Masterfiles'!C86</f>
        <v>S03</v>
      </c>
      <c r="D85" s="291" t="str">
        <f>'C. Masterfiles'!D86</f>
        <v>Originating calls (local)</v>
      </c>
      <c r="E85" s="291" t="str">
        <f>'C. Masterfiles'!E86</f>
        <v>Voice Minutes</v>
      </c>
      <c r="F85" s="104"/>
      <c r="G85" s="398">
        <f>'9.Service costing'!AA88</f>
        <v>0.005710061235495085</v>
      </c>
      <c r="H85" s="392">
        <f>IF(G85="","",G85*'10.Mark ups'!J$32)</f>
        <v>0.0008186067978509941</v>
      </c>
      <c r="I85" s="393">
        <f t="shared" si="4"/>
        <v>0.006528668033346079</v>
      </c>
      <c r="K85" s="393">
        <f>IF(G85="","",G85*'C. Masterfiles'!$E$112)</f>
        <v>0.09221748895324562</v>
      </c>
      <c r="L85" s="393">
        <f>IF(G85="","",H85*'C. Masterfiles'!$E$112)</f>
        <v>0.013220499785293553</v>
      </c>
      <c r="M85" s="393">
        <f>IF(G85="","",I85*'C. Masterfiles'!$E$112)</f>
        <v>0.10543798873853917</v>
      </c>
    </row>
    <row r="86" spans="1:13" ht="12.75" outlineLevel="1">
      <c r="A86" s="83"/>
      <c r="B86" s="85"/>
      <c r="C86" s="291" t="str">
        <f>'C. Masterfiles'!C87</f>
        <v>S04</v>
      </c>
      <c r="D86" s="291" t="str">
        <f>'C. Masterfiles'!D87</f>
        <v>Originating calls (national) </v>
      </c>
      <c r="E86" s="291" t="str">
        <f>'C. Masterfiles'!E87</f>
        <v>Voice Minutes</v>
      </c>
      <c r="F86" s="104"/>
      <c r="G86" s="398">
        <f>'9.Service costing'!AA89</f>
        <v>0.025858206539750475</v>
      </c>
      <c r="H86" s="392">
        <f>IF(G86="","",G86*'10.Mark ups'!J$32)</f>
        <v>0.0037070887299931812</v>
      </c>
      <c r="I86" s="393">
        <f t="shared" si="4"/>
        <v>0.029565295269743656</v>
      </c>
      <c r="K86" s="393">
        <f>IF(G86="","",G86*'C. Masterfiles'!$E$112)</f>
        <v>0.41761003561697013</v>
      </c>
      <c r="L86" s="393">
        <f>IF(G86="","",H86*'C. Masterfiles'!$E$112)</f>
        <v>0.05986948298938987</v>
      </c>
      <c r="M86" s="393">
        <f>IF(G86="","",I86*'C. Masterfiles'!$E$112)</f>
        <v>0.47747951860636</v>
      </c>
    </row>
    <row r="87" spans="1:13" ht="12.75" outlineLevel="1">
      <c r="A87" s="83"/>
      <c r="B87" s="85"/>
      <c r="C87" s="291" t="str">
        <f>'C. Masterfiles'!C88</f>
        <v>S05</v>
      </c>
      <c r="D87" s="291" t="str">
        <f>'C. Masterfiles'!D88</f>
        <v>Originating calls (international)</v>
      </c>
      <c r="E87" s="291" t="str">
        <f>'C. Masterfiles'!E88</f>
        <v>Voice Minutes</v>
      </c>
      <c r="F87" s="104"/>
      <c r="G87" s="398">
        <f>'9.Service costing'!AA90</f>
        <v>0.021803890606472556</v>
      </c>
      <c r="H87" s="392">
        <f>IF(G87="","",G87*'10.Mark ups'!J$32)</f>
        <v>0.003125853179840777</v>
      </c>
      <c r="I87" s="393">
        <f t="shared" si="4"/>
        <v>0.02492974378631333</v>
      </c>
      <c r="K87" s="393">
        <f>IF(G87="","",G87*'C. Masterfiles'!$E$112)</f>
        <v>0.35213283329453177</v>
      </c>
      <c r="L87" s="393">
        <f>IF(G87="","",H87*'C. Masterfiles'!$E$112)</f>
        <v>0.05048252885442854</v>
      </c>
      <c r="M87" s="393">
        <f>IF(G87="","",I87*'C. Masterfiles'!$E$112)</f>
        <v>0.40261536214896027</v>
      </c>
    </row>
    <row r="88" spans="1:13" ht="12.75" outlineLevel="1">
      <c r="A88" s="83"/>
      <c r="B88" s="85"/>
      <c r="C88" s="291" t="str">
        <f>'C. Masterfiles'!C89</f>
        <v>S06</v>
      </c>
      <c r="D88" s="291" t="str">
        <f>'C. Masterfiles'!D89</f>
        <v>Terminating calls (local)</v>
      </c>
      <c r="E88" s="291" t="str">
        <f>'C. Masterfiles'!E89</f>
        <v>Voice Minutes</v>
      </c>
      <c r="F88" s="104"/>
      <c r="G88" s="398">
        <f>'9.Service costing'!AA91</f>
        <v>0.006120815236215818</v>
      </c>
      <c r="H88" s="392">
        <f>IF(G88="","",G88*'10.Mark ups'!J$32)</f>
        <v>0.000877493384766087</v>
      </c>
      <c r="I88" s="393">
        <f t="shared" si="4"/>
        <v>0.006998308620981905</v>
      </c>
      <c r="K88" s="393">
        <f>IF(G88="","",G88*'C. Masterfiles'!$E$112)</f>
        <v>0.09885116606488545</v>
      </c>
      <c r="L88" s="393">
        <f>IF(G88="","",H88*'C. Masterfiles'!$E$112)</f>
        <v>0.014171518163972304</v>
      </c>
      <c r="M88" s="393">
        <f>IF(G88="","",I88*'C. Masterfiles'!$E$112)</f>
        <v>0.11302268422885775</v>
      </c>
    </row>
    <row r="89" spans="1:13" ht="12.75" outlineLevel="1">
      <c r="A89" s="83"/>
      <c r="B89" s="85"/>
      <c r="C89" s="291" t="str">
        <f>'C. Masterfiles'!C90</f>
        <v>S07</v>
      </c>
      <c r="D89" s="291" t="str">
        <f>'C. Masterfiles'!D90</f>
        <v>Terminating calls (national) </v>
      </c>
      <c r="E89" s="291" t="str">
        <f>'C. Masterfiles'!E90</f>
        <v>Voice Minutes</v>
      </c>
      <c r="F89" s="104"/>
      <c r="G89" s="398">
        <f>'9.Service costing'!AA92</f>
        <v>0.026388656564271827</v>
      </c>
      <c r="H89" s="392">
        <f>IF(G89="","",G89*'10.Mark ups'!J$32)</f>
        <v>0.003783135199213884</v>
      </c>
      <c r="I89" s="393">
        <f t="shared" si="4"/>
        <v>0.030171791763485712</v>
      </c>
      <c r="K89" s="393">
        <f>IF(G89="","",G89*'C. Masterfiles'!$E$112)</f>
        <v>0.42617680351299</v>
      </c>
      <c r="L89" s="393">
        <f>IF(G89="","",H89*'C. Masterfiles'!$E$112)</f>
        <v>0.06109763346730422</v>
      </c>
      <c r="M89" s="393">
        <f>IF(G89="","",I89*'C. Masterfiles'!$E$112)</f>
        <v>0.4872744369802942</v>
      </c>
    </row>
    <row r="90" spans="1:13" ht="12.75" outlineLevel="1">
      <c r="A90" s="83"/>
      <c r="B90" s="85"/>
      <c r="C90" s="291" t="str">
        <f>'C. Masterfiles'!C91</f>
        <v>S08</v>
      </c>
      <c r="D90" s="291" t="str">
        <f>'C. Masterfiles'!D91</f>
        <v>Terminating calls (international)</v>
      </c>
      <c r="E90" s="291" t="str">
        <f>'C. Masterfiles'!E91</f>
        <v>Voice Minutes</v>
      </c>
      <c r="F90" s="104"/>
      <c r="G90" s="398">
        <f>'9.Service costing'!AA93</f>
        <v>0.022260782131499735</v>
      </c>
      <c r="H90" s="392">
        <f>IF(G90="","",G90*'10.Mark ups'!J$32)</f>
        <v>0.003191354142587515</v>
      </c>
      <c r="I90" s="393">
        <f t="shared" si="4"/>
        <v>0.02545213627408725</v>
      </c>
      <c r="K90" s="393">
        <f>IF(G90="","",G90*'C. Masterfiles'!$E$112)</f>
        <v>0.35951163142372067</v>
      </c>
      <c r="L90" s="393">
        <f>IF(G90="","",H90*'C. Masterfiles'!$E$112)</f>
        <v>0.05154036940278837</v>
      </c>
      <c r="M90" s="393">
        <f>IF(G90="","",I90*'C. Masterfiles'!$E$112)</f>
        <v>0.41105200082650906</v>
      </c>
    </row>
    <row r="91" spans="1:13" ht="12.75" outlineLevel="1">
      <c r="A91" s="83"/>
      <c r="B91" s="85"/>
      <c r="C91" s="291" t="str">
        <f>'C. Masterfiles'!C92</f>
        <v>S09</v>
      </c>
      <c r="D91" s="291" t="str">
        <f>'C. Masterfiles'!D92</f>
        <v>Transit calls</v>
      </c>
      <c r="E91" s="291" t="str">
        <f>'C. Masterfiles'!E92</f>
        <v>Voice Minutes</v>
      </c>
      <c r="F91" s="104"/>
      <c r="G91" s="398">
        <f>'9.Service costing'!AA94</f>
        <v>0.024407331939123564</v>
      </c>
      <c r="H91" s="392">
        <f>IF(G91="","",G91*'10.Mark ups'!J$32)</f>
        <v>0.003499088191659277</v>
      </c>
      <c r="I91" s="393">
        <f t="shared" si="4"/>
        <v>0.02790642013078284</v>
      </c>
      <c r="K91" s="393">
        <f>IF(G91="","",G91*'C. Masterfiles'!$E$112)</f>
        <v>0.3941784108168455</v>
      </c>
      <c r="L91" s="393">
        <f>IF(G91="","",H91*'C. Masterfiles'!$E$112)</f>
        <v>0.05651027429529732</v>
      </c>
      <c r="M91" s="393">
        <f>IF(G91="","",I91*'C. Masterfiles'!$E$112)</f>
        <v>0.45068868511214283</v>
      </c>
    </row>
    <row r="92" spans="1:13" ht="12.75" outlineLevel="1">
      <c r="A92" s="83"/>
      <c r="B92" s="85"/>
      <c r="C92" s="291" t="str">
        <f>'C. Masterfiles'!C93</f>
        <v>S10</v>
      </c>
      <c r="D92" s="291" t="str">
        <f>'C. Masterfiles'!D93</f>
        <v>Calls to directory enquiries, emergency &amp; helpdesk</v>
      </c>
      <c r="E92" s="291" t="str">
        <f>'C. Masterfiles'!E93</f>
        <v>Voice Minutes</v>
      </c>
      <c r="F92" s="104"/>
      <c r="G92" s="398">
        <f>'9.Service costing'!AA95</f>
        <v>0.5874366120103105</v>
      </c>
      <c r="H92" s="392">
        <f>IF(G92="","",G92*'10.Mark ups'!J$32)</f>
        <v>0.08421619034642505</v>
      </c>
      <c r="I92" s="393">
        <f t="shared" si="4"/>
        <v>0.6716528023567355</v>
      </c>
      <c r="K92" s="393">
        <f>IF(G92="","",G92*'C. Masterfiles'!$E$112)</f>
        <v>9.487101283966513</v>
      </c>
      <c r="L92" s="393">
        <f>IF(G92="","",H92*'C. Masterfiles'!$E$112)</f>
        <v>1.3600914740947645</v>
      </c>
      <c r="M92" s="393">
        <f>IF(G92="","",I92*'C. Masterfiles'!$E$112)</f>
        <v>10.847192758061277</v>
      </c>
    </row>
    <row r="93" spans="1:13" ht="12.75" outlineLevel="1">
      <c r="A93" s="83"/>
      <c r="B93" s="85"/>
      <c r="C93" s="291" t="str">
        <f>'C. Masterfiles'!C94</f>
        <v>S11</v>
      </c>
      <c r="D93" s="291" t="str">
        <f>'C. Masterfiles'!D94</f>
        <v>Calls to non-geographic numbers</v>
      </c>
      <c r="E93" s="291" t="str">
        <f>'C. Masterfiles'!E94</f>
        <v>Voice Minutes</v>
      </c>
      <c r="F93" s="104"/>
      <c r="G93" s="398">
        <f>'9.Service costing'!AA96</f>
        <v>0.5207965612305862</v>
      </c>
      <c r="H93" s="392">
        <f>IF(G93="","",G93*'10.Mark ups'!J$32)</f>
        <v>0.07466252772748329</v>
      </c>
      <c r="I93" s="393">
        <f t="shared" si="4"/>
        <v>0.5954590889580694</v>
      </c>
      <c r="K93" s="393">
        <f>IF(G93="","",G93*'C. Masterfiles'!$E$112)</f>
        <v>8.410864463873965</v>
      </c>
      <c r="L93" s="393">
        <f>IF(G93="","",H93*'C. Masterfiles'!$E$112)</f>
        <v>1.205799822798855</v>
      </c>
      <c r="M93" s="393">
        <f>IF(G93="","",I93*'C. Masterfiles'!$E$112)</f>
        <v>9.61666428667282</v>
      </c>
    </row>
    <row r="94" spans="1:13" ht="12.75" outlineLevel="1">
      <c r="A94" s="83"/>
      <c r="B94" s="85"/>
      <c r="C94" s="291" t="str">
        <f>'C. Masterfiles'!C95</f>
        <v>S12</v>
      </c>
      <c r="D94" s="291" t="str">
        <f>'C. Masterfiles'!D95</f>
        <v>Internet dial-up calls</v>
      </c>
      <c r="E94" s="291" t="str">
        <f>'C. Masterfiles'!E95</f>
        <v>Voice Minutes</v>
      </c>
      <c r="F94" s="104"/>
      <c r="G94" s="398">
        <f>'9.Service costing'!AA97</f>
        <v>0.019811930230078767</v>
      </c>
      <c r="H94" s="392">
        <f>IF(G94="","",G94*'10.Mark ups'!J$32)</f>
        <v>0.0028402814078553234</v>
      </c>
      <c r="I94" s="393">
        <f t="shared" si="4"/>
        <v>0.02265221163793409</v>
      </c>
      <c r="K94" s="393">
        <f>IF(G94="","",G94*'C. Masterfiles'!$E$112)</f>
        <v>0.31996267321577204</v>
      </c>
      <c r="L94" s="393">
        <f>IF(G94="","",H94*'C. Masterfiles'!$E$112)</f>
        <v>0.045870544736863465</v>
      </c>
      <c r="M94" s="393">
        <f>IF(G94="","",I94*'C. Masterfiles'!$E$112)</f>
        <v>0.3658332179526355</v>
      </c>
    </row>
    <row r="95" spans="1:9" ht="12.75">
      <c r="A95" s="83"/>
      <c r="B95" s="85"/>
      <c r="C95" s="83"/>
      <c r="D95" s="102"/>
      <c r="E95" s="102"/>
      <c r="F95" s="83"/>
      <c r="G95" s="228"/>
      <c r="H95" s="228"/>
      <c r="I95" s="83"/>
    </row>
    <row r="97" s="83" customFormat="1" ht="12.75"/>
    <row r="98" spans="1:7" ht="15.75">
      <c r="A98" s="28"/>
      <c r="B98" s="267">
        <f>B10+0.01</f>
        <v>11.02</v>
      </c>
      <c r="C98" s="29" t="s">
        <v>790</v>
      </c>
      <c r="D98" s="101"/>
      <c r="G98" s="1"/>
    </row>
    <row r="99" spans="2:7" ht="12.75">
      <c r="B99" s="1"/>
      <c r="G99" s="1"/>
    </row>
    <row r="100" spans="2:7" ht="12.75" outlineLevel="1">
      <c r="B100" s="1"/>
      <c r="G100" s="1"/>
    </row>
    <row r="101" spans="2:7" ht="18" outlineLevel="1">
      <c r="B101" s="1"/>
      <c r="C101" s="394">
        <f>C12</f>
        <v>2008</v>
      </c>
      <c r="D101" s="85"/>
      <c r="E101" s="85"/>
      <c r="G101" s="1"/>
    </row>
    <row r="102" spans="2:10" ht="12.75" outlineLevel="1">
      <c r="B102" s="1"/>
      <c r="C102" s="83"/>
      <c r="D102" s="83"/>
      <c r="E102" s="83"/>
      <c r="G102" s="1"/>
      <c r="H102" s="658" t="str">
        <f>K13</f>
        <v>Moldova Lei</v>
      </c>
      <c r="I102" s="659"/>
      <c r="J102" s="660"/>
    </row>
    <row r="103" spans="2:10" ht="12.75" outlineLevel="1">
      <c r="B103" s="1"/>
      <c r="C103" s="103"/>
      <c r="D103" s="103" t="str">
        <f>'8.Routing factors'!D32</f>
        <v>Service</v>
      </c>
      <c r="E103" s="90" t="s">
        <v>652</v>
      </c>
      <c r="F103" s="90" t="s">
        <v>793</v>
      </c>
      <c r="G103" s="1"/>
      <c r="H103" s="92" t="s">
        <v>797</v>
      </c>
      <c r="I103" s="92" t="s">
        <v>796</v>
      </c>
      <c r="J103" s="92" t="s">
        <v>786</v>
      </c>
    </row>
    <row r="104" spans="2:10" ht="12.75" outlineLevel="1">
      <c r="B104" s="1"/>
      <c r="C104" s="291" t="str">
        <f>'C. Masterfiles'!C84</f>
        <v>S01</v>
      </c>
      <c r="D104" s="291" t="str">
        <f>'C. Masterfiles'!D84</f>
        <v>On-net local calls</v>
      </c>
      <c r="E104" s="291" t="str">
        <f>'C. Masterfiles'!E84</f>
        <v>Voice Minutes</v>
      </c>
      <c r="F104" s="291" t="str">
        <f>'C. Masterfiles'!F84</f>
        <v>Yes</v>
      </c>
      <c r="G104" s="1"/>
      <c r="H104" s="393">
        <f aca="true" t="shared" si="5" ref="H104:H115">M15</f>
        <v>0.3492181892844177</v>
      </c>
      <c r="I104" s="391">
        <f>IF(F104="no",0,IF(H104="","",H104*'10.Mark ups'!F$61))</f>
        <v>0.021596825497987745</v>
      </c>
      <c r="J104" s="381">
        <f>IF(F104="no",0,IF(H104="","",SUM(H104:I104)))</f>
        <v>0.37081501478240547</v>
      </c>
    </row>
    <row r="105" spans="2:10" ht="12.75" outlineLevel="1">
      <c r="B105" s="1"/>
      <c r="C105" s="291" t="str">
        <f>'C. Masterfiles'!C85</f>
        <v>S02</v>
      </c>
      <c r="D105" s="291" t="str">
        <f>'C. Masterfiles'!D85</f>
        <v>On-net national calls</v>
      </c>
      <c r="E105" s="291" t="str">
        <f>'C. Masterfiles'!E85</f>
        <v>Voice Minutes</v>
      </c>
      <c r="F105" s="291" t="str">
        <f>'C. Masterfiles'!F85</f>
        <v>Yes</v>
      </c>
      <c r="G105" s="1"/>
      <c r="H105" s="393">
        <f t="shared" si="5"/>
        <v>0.828818023336412</v>
      </c>
      <c r="I105" s="391">
        <f>IF(F105="no",0,IF(H105="","",H105*'10.Mark ups'!F$61))</f>
        <v>0.051256889729203815</v>
      </c>
      <c r="J105" s="381">
        <f aca="true" t="shared" si="6" ref="J105:J115">IF(F105="no",0,IF(H105="","",SUM(H105:I105)))</f>
        <v>0.8800749130656158</v>
      </c>
    </row>
    <row r="106" spans="2:10" ht="12.75" outlineLevel="1">
      <c r="B106" s="1"/>
      <c r="C106" s="291" t="str">
        <f>'C. Masterfiles'!C86</f>
        <v>S03</v>
      </c>
      <c r="D106" s="291" t="str">
        <f>'C. Masterfiles'!D86</f>
        <v>Originating calls (local)</v>
      </c>
      <c r="E106" s="291" t="str">
        <f>'C. Masterfiles'!E86</f>
        <v>Voice Minutes</v>
      </c>
      <c r="F106" s="291" t="str">
        <f>'C. Masterfiles'!F86</f>
        <v>Yes</v>
      </c>
      <c r="G106" s="1"/>
      <c r="H106" s="393">
        <f t="shared" si="5"/>
        <v>0.09515077392636681</v>
      </c>
      <c r="I106" s="391">
        <f>IF(F106="no",0,IF(H106="","",H106*'10.Mark ups'!F$61))</f>
        <v>0.005884443375349462</v>
      </c>
      <c r="J106" s="381">
        <f t="shared" si="6"/>
        <v>0.10103521730171627</v>
      </c>
    </row>
    <row r="107" spans="2:10" ht="12.75" outlineLevel="1">
      <c r="B107" s="1"/>
      <c r="C107" s="291" t="str">
        <f>'C. Masterfiles'!C87</f>
        <v>S04</v>
      </c>
      <c r="D107" s="291" t="str">
        <f>'C. Masterfiles'!D87</f>
        <v>Originating calls (national) </v>
      </c>
      <c r="E107" s="291" t="str">
        <f>'C. Masterfiles'!E87</f>
        <v>Voice Minutes</v>
      </c>
      <c r="F107" s="291" t="str">
        <f>'C. Masterfiles'!F87</f>
        <v>Yes</v>
      </c>
      <c r="G107" s="1"/>
      <c r="H107" s="393">
        <f t="shared" si="5"/>
        <v>0.5174492330431366</v>
      </c>
      <c r="I107" s="391">
        <f>IF(F107="no",0,IF(H107="","",H107*'10.Mark ups'!F$61))</f>
        <v>0.032000798162889</v>
      </c>
      <c r="J107" s="381">
        <f t="shared" si="6"/>
        <v>0.5494500312060256</v>
      </c>
    </row>
    <row r="108" spans="2:10" ht="12.75" outlineLevel="1">
      <c r="B108" s="1"/>
      <c r="C108" s="291" t="str">
        <f>'C. Masterfiles'!C88</f>
        <v>S05</v>
      </c>
      <c r="D108" s="291" t="str">
        <f>'C. Masterfiles'!D88</f>
        <v>Originating calls (international)</v>
      </c>
      <c r="E108" s="291" t="str">
        <f>'C. Masterfiles'!E88</f>
        <v>Voice Minutes</v>
      </c>
      <c r="F108" s="291" t="str">
        <f>'C. Masterfiles'!F88</f>
        <v>Yes</v>
      </c>
      <c r="G108" s="1"/>
      <c r="H108" s="393">
        <f t="shared" si="5"/>
        <v>0.43826709708109435</v>
      </c>
      <c r="I108" s="391">
        <f>IF(F108="no",0,IF(H108="","",H108*'10.Mark ups'!F$61))</f>
        <v>0.027103908981846354</v>
      </c>
      <c r="J108" s="381">
        <f t="shared" si="6"/>
        <v>0.4653710060629407</v>
      </c>
    </row>
    <row r="109" spans="2:10" ht="12.75" outlineLevel="1">
      <c r="B109" s="1"/>
      <c r="C109" s="291" t="str">
        <f>'C. Masterfiles'!C89</f>
        <v>S06</v>
      </c>
      <c r="D109" s="291" t="str">
        <f>'C. Masterfiles'!D89</f>
        <v>Terminating calls (local)</v>
      </c>
      <c r="E109" s="291" t="str">
        <f>'C. Masterfiles'!E89</f>
        <v>Voice Minutes</v>
      </c>
      <c r="F109" s="291" t="str">
        <f>'C. Masterfiles'!F89</f>
        <v>No</v>
      </c>
      <c r="G109" s="1"/>
      <c r="H109" s="393">
        <f t="shared" si="5"/>
        <v>0.10187417128373003</v>
      </c>
      <c r="I109" s="391">
        <f>IF(F109="no",0,IF(H109="","",H109*'10.Mark ups'!F$61))</f>
        <v>0</v>
      </c>
      <c r="J109" s="381">
        <f t="shared" si="6"/>
        <v>0</v>
      </c>
    </row>
    <row r="110" spans="2:10" ht="12.75" outlineLevel="1">
      <c r="B110" s="1"/>
      <c r="C110" s="291" t="str">
        <f>'C. Masterfiles'!C90</f>
        <v>S07</v>
      </c>
      <c r="D110" s="291" t="str">
        <f>'C. Masterfiles'!D90</f>
        <v>Terminating calls (national) </v>
      </c>
      <c r="E110" s="291" t="str">
        <f>'C. Masterfiles'!E90</f>
        <v>Voice Minutes</v>
      </c>
      <c r="F110" s="291" t="str">
        <f>'C. Masterfiles'!F90</f>
        <v>No</v>
      </c>
      <c r="G110" s="1"/>
      <c r="H110" s="393">
        <f t="shared" si="5"/>
        <v>0.5261459226589594</v>
      </c>
      <c r="I110" s="391">
        <f>IF(F110="no",0,IF(H110="","",H110*'10.Mark ups'!F$61))</f>
        <v>0</v>
      </c>
      <c r="J110" s="381">
        <f t="shared" si="6"/>
        <v>0</v>
      </c>
    </row>
    <row r="111" spans="2:10" ht="12.75" outlineLevel="1">
      <c r="B111" s="1"/>
      <c r="C111" s="291" t="str">
        <f>'C. Masterfiles'!C91</f>
        <v>S08</v>
      </c>
      <c r="D111" s="291" t="str">
        <f>'C. Masterfiles'!D91</f>
        <v>Terminating calls (international)</v>
      </c>
      <c r="E111" s="291" t="str">
        <f>'C. Masterfiles'!E91</f>
        <v>Voice Minutes</v>
      </c>
      <c r="F111" s="291" t="str">
        <f>'C. Masterfiles'!F91</f>
        <v>No</v>
      </c>
      <c r="G111" s="1"/>
      <c r="H111" s="393">
        <f t="shared" si="5"/>
        <v>0.44575780044159785</v>
      </c>
      <c r="I111" s="391">
        <f>IF(F111="no",0,IF(H111="","",H111*'10.Mark ups'!F$61))</f>
        <v>0</v>
      </c>
      <c r="J111" s="381">
        <f t="shared" si="6"/>
        <v>0</v>
      </c>
    </row>
    <row r="112" spans="2:10" ht="12.75" outlineLevel="1">
      <c r="B112" s="1"/>
      <c r="C112" s="291" t="str">
        <f>'C. Masterfiles'!C92</f>
        <v>S09</v>
      </c>
      <c r="D112" s="291" t="str">
        <f>'C. Masterfiles'!D92</f>
        <v>Transit calls</v>
      </c>
      <c r="E112" s="291" t="str">
        <f>'C. Masterfiles'!E92</f>
        <v>Voice Minutes</v>
      </c>
      <c r="F112" s="291" t="str">
        <f>'C. Masterfiles'!F92</f>
        <v>No</v>
      </c>
      <c r="G112" s="1"/>
      <c r="H112" s="393">
        <f t="shared" si="5"/>
        <v>0.49565909376053724</v>
      </c>
      <c r="I112" s="391">
        <f>IF(F112="no",0,IF(H112="","",H112*'10.Mark ups'!F$61))</f>
        <v>0</v>
      </c>
      <c r="J112" s="381">
        <f t="shared" si="6"/>
        <v>0</v>
      </c>
    </row>
    <row r="113" spans="2:10" ht="12.75" outlineLevel="1">
      <c r="B113" s="1"/>
      <c r="C113" s="291" t="str">
        <f>'C. Masterfiles'!C93</f>
        <v>S10</v>
      </c>
      <c r="D113" s="291" t="str">
        <f>'C. Masterfiles'!D93</f>
        <v>Calls to directory enquiries, emergency &amp; helpdesk</v>
      </c>
      <c r="E113" s="291" t="str">
        <f>'C. Masterfiles'!E93</f>
        <v>Voice Minutes</v>
      </c>
      <c r="F113" s="291" t="str">
        <f>'C. Masterfiles'!F93</f>
        <v>Yes</v>
      </c>
      <c r="G113" s="1"/>
      <c r="H113" s="393">
        <f t="shared" si="5"/>
        <v>8.941936333623838</v>
      </c>
      <c r="I113" s="391">
        <f>IF(F113="no",0,IF(H113="","",H113*'10.Mark ups'!F$61))</f>
        <v>0.5529993698412643</v>
      </c>
      <c r="J113" s="381">
        <f t="shared" si="6"/>
        <v>9.494935703465103</v>
      </c>
    </row>
    <row r="114" spans="2:10" ht="12.75" outlineLevel="1">
      <c r="B114" s="1"/>
      <c r="C114" s="291" t="str">
        <f>'C. Masterfiles'!C94</f>
        <v>S11</v>
      </c>
      <c r="D114" s="291" t="str">
        <f>'C. Masterfiles'!D94</f>
        <v>Calls to non-geographic numbers</v>
      </c>
      <c r="E114" s="291" t="str">
        <f>'C. Masterfiles'!E94</f>
        <v>Voice Minutes</v>
      </c>
      <c r="F114" s="291" t="str">
        <f>'C. Masterfiles'!F94</f>
        <v>Yes</v>
      </c>
      <c r="G114" s="1"/>
      <c r="H114" s="393">
        <f t="shared" si="5"/>
        <v>7.927544177672727</v>
      </c>
      <c r="I114" s="391">
        <f>IF(F114="no",0,IF(H114="","",H114*'10.Mark ups'!F$61))</f>
        <v>0.4902659525943144</v>
      </c>
      <c r="J114" s="381">
        <f t="shared" si="6"/>
        <v>8.417810130267041</v>
      </c>
    </row>
    <row r="115" spans="2:10" ht="12.75" outlineLevel="1">
      <c r="B115" s="1"/>
      <c r="C115" s="291" t="str">
        <f>'C. Masterfiles'!C95</f>
        <v>S12</v>
      </c>
      <c r="D115" s="291" t="str">
        <f>'C. Masterfiles'!D95</f>
        <v>Internet dial-up calls</v>
      </c>
      <c r="E115" s="291" t="str">
        <f>'C. Masterfiles'!E95</f>
        <v>Voice Minutes</v>
      </c>
      <c r="F115" s="291" t="str">
        <f>'C. Masterfiles'!F95</f>
        <v>Yes</v>
      </c>
      <c r="G115" s="1"/>
      <c r="H115" s="393">
        <f t="shared" si="5"/>
        <v>0.3982278808045499</v>
      </c>
      <c r="I115" s="391">
        <f>IF(F115="no",0,IF(H115="","",H115*'10.Mark ups'!F$61))</f>
        <v>0.024627749395850513</v>
      </c>
      <c r="J115" s="381">
        <f t="shared" si="6"/>
        <v>0.4228556302004004</v>
      </c>
    </row>
    <row r="116" spans="2:7" ht="12.75" outlineLevel="1">
      <c r="B116" s="1"/>
      <c r="G116" s="1"/>
    </row>
    <row r="117" spans="2:7" ht="12.75" outlineLevel="1">
      <c r="B117" s="1"/>
      <c r="C117" s="83"/>
      <c r="D117" s="102"/>
      <c r="E117" s="102"/>
      <c r="G117" s="1"/>
    </row>
    <row r="118" spans="2:7" ht="18" outlineLevel="1">
      <c r="B118" s="1"/>
      <c r="C118" s="394">
        <f>C29</f>
        <v>2009</v>
      </c>
      <c r="D118" s="83"/>
      <c r="E118" s="83"/>
      <c r="G118" s="1"/>
    </row>
    <row r="119" spans="2:10" ht="12.75">
      <c r="B119" s="1"/>
      <c r="C119" s="83"/>
      <c r="D119" s="83"/>
      <c r="E119" s="83"/>
      <c r="G119" s="1"/>
      <c r="H119" s="658" t="str">
        <f>K30</f>
        <v>Moldova Lei</v>
      </c>
      <c r="I119" s="659"/>
      <c r="J119" s="660"/>
    </row>
    <row r="120" spans="2:10" ht="12.75">
      <c r="B120" s="1"/>
      <c r="C120" s="103"/>
      <c r="D120" s="103" t="str">
        <f>'8.Routing factors'!D32</f>
        <v>Service</v>
      </c>
      <c r="E120" s="90" t="s">
        <v>652</v>
      </c>
      <c r="F120" s="90" t="s">
        <v>793</v>
      </c>
      <c r="G120" s="1"/>
      <c r="H120" s="92" t="s">
        <v>797</v>
      </c>
      <c r="I120" s="92" t="s">
        <v>796</v>
      </c>
      <c r="J120" s="92" t="s">
        <v>786</v>
      </c>
    </row>
    <row r="121" spans="2:10" ht="12.75">
      <c r="B121" s="1"/>
      <c r="C121" s="291" t="str">
        <f>'C. Masterfiles'!C84</f>
        <v>S01</v>
      </c>
      <c r="D121" s="291" t="str">
        <f>'C. Masterfiles'!D84</f>
        <v>On-net local calls</v>
      </c>
      <c r="E121" s="291" t="str">
        <f>'C. Masterfiles'!E84</f>
        <v>Voice Minutes</v>
      </c>
      <c r="F121" s="291" t="str">
        <f>'C. Masterfiles'!F84</f>
        <v>Yes</v>
      </c>
      <c r="G121" s="1"/>
      <c r="H121" s="393">
        <f aca="true" t="shared" si="7" ref="H121:H132">M32</f>
        <v>0.35057097515138175</v>
      </c>
      <c r="I121" s="391">
        <f>IF(F121="no",0,IF(H121="","",H121*'10.Mark ups'!G$61))</f>
        <v>0.024629881919504912</v>
      </c>
      <c r="J121" s="381">
        <f>IF(F121="no",0,IF(H121="","",SUM(H121:I121)))</f>
        <v>0.3752008570708867</v>
      </c>
    </row>
    <row r="122" spans="2:10" ht="12.75">
      <c r="B122" s="1"/>
      <c r="C122" s="291" t="str">
        <f>'C. Masterfiles'!C85</f>
        <v>S02</v>
      </c>
      <c r="D122" s="291" t="str">
        <f>'C. Masterfiles'!D85</f>
        <v>On-net national calls</v>
      </c>
      <c r="E122" s="291" t="str">
        <f>'C. Masterfiles'!E85</f>
        <v>Voice Minutes</v>
      </c>
      <c r="F122" s="291" t="str">
        <f>'C. Masterfiles'!F85</f>
        <v>Yes</v>
      </c>
      <c r="G122" s="1"/>
      <c r="H122" s="393">
        <f t="shared" si="7"/>
        <v>0.8203551255198263</v>
      </c>
      <c r="I122" s="391">
        <f>IF(F122="no",0,IF(H122="","",H122*'10.Mark ups'!G$61))</f>
        <v>0.05763526163250972</v>
      </c>
      <c r="J122" s="381">
        <f aca="true" t="shared" si="8" ref="J122:J132">IF(F122="no",0,IF(H122="","",SUM(H122:I122)))</f>
        <v>0.877990387152336</v>
      </c>
    </row>
    <row r="123" spans="3:10" s="83" customFormat="1" ht="12.75">
      <c r="C123" s="291" t="str">
        <f>'C. Masterfiles'!C86</f>
        <v>S03</v>
      </c>
      <c r="D123" s="291" t="str">
        <f>'C. Masterfiles'!D86</f>
        <v>Originating calls (local)</v>
      </c>
      <c r="E123" s="291" t="str">
        <f>'C. Masterfiles'!E86</f>
        <v>Voice Minutes</v>
      </c>
      <c r="F123" s="291" t="str">
        <f>'C. Masterfiles'!F86</f>
        <v>Yes</v>
      </c>
      <c r="H123" s="393">
        <f t="shared" si="7"/>
        <v>0.0996648645368613</v>
      </c>
      <c r="I123" s="391">
        <f>IF(F123="no",0,IF(H123="","",H123*'10.Mark ups'!G$61))</f>
        <v>0.0070021023389239675</v>
      </c>
      <c r="J123" s="381">
        <f t="shared" si="8"/>
        <v>0.10666696687578527</v>
      </c>
    </row>
    <row r="124" spans="2:10" ht="12.75">
      <c r="B124" s="1"/>
      <c r="C124" s="291" t="str">
        <f>'C. Masterfiles'!C87</f>
        <v>S04</v>
      </c>
      <c r="D124" s="291" t="str">
        <f>'C. Masterfiles'!D87</f>
        <v>Originating calls (national) </v>
      </c>
      <c r="E124" s="291" t="str">
        <f>'C. Masterfiles'!E87</f>
        <v>Voice Minutes</v>
      </c>
      <c r="F124" s="291" t="str">
        <f>'C. Masterfiles'!F87</f>
        <v>Yes</v>
      </c>
      <c r="G124" s="1"/>
      <c r="H124" s="393">
        <f t="shared" si="7"/>
        <v>0.5154281570248462</v>
      </c>
      <c r="I124" s="391">
        <f>IF(F124="no",0,IF(H124="","",H124*'10.Mark ups'!G$61))</f>
        <v>0.03621216685160013</v>
      </c>
      <c r="J124" s="381">
        <f t="shared" si="8"/>
        <v>0.5516403238764463</v>
      </c>
    </row>
    <row r="125" spans="2:10" ht="12.75">
      <c r="B125" s="1"/>
      <c r="C125" s="291" t="str">
        <f>'C. Masterfiles'!C88</f>
        <v>S05</v>
      </c>
      <c r="D125" s="291" t="str">
        <f>'C. Masterfiles'!D88</f>
        <v>Originating calls (international)</v>
      </c>
      <c r="E125" s="291" t="str">
        <f>'C. Masterfiles'!E88</f>
        <v>Voice Minutes</v>
      </c>
      <c r="F125" s="291" t="str">
        <f>'C. Masterfiles'!F88</f>
        <v>Yes</v>
      </c>
      <c r="G125" s="1"/>
      <c r="H125" s="393">
        <f t="shared" si="7"/>
        <v>0.435161524001297</v>
      </c>
      <c r="I125" s="391">
        <f>IF(F125="no",0,IF(H125="","",H125*'10.Mark ups'!G$61))</f>
        <v>0.03057291593360108</v>
      </c>
      <c r="J125" s="381">
        <f t="shared" si="8"/>
        <v>0.46573443993489805</v>
      </c>
    </row>
    <row r="126" spans="2:10" ht="12.75" outlineLevel="1">
      <c r="B126" s="1"/>
      <c r="C126" s="291" t="str">
        <f>'C. Masterfiles'!C89</f>
        <v>S06</v>
      </c>
      <c r="D126" s="291" t="str">
        <f>'C. Masterfiles'!D89</f>
        <v>Terminating calls (local)</v>
      </c>
      <c r="E126" s="291" t="str">
        <f>'C. Masterfiles'!E89</f>
        <v>Voice Minutes</v>
      </c>
      <c r="F126" s="291" t="str">
        <f>'C. Masterfiles'!F89</f>
        <v>No</v>
      </c>
      <c r="G126" s="1"/>
      <c r="H126" s="393">
        <f t="shared" si="7"/>
        <v>0.10745211956865237</v>
      </c>
      <c r="I126" s="391">
        <f>IF(F126="no",0,IF(H126="","",H126*'10.Mark ups'!G$61))</f>
        <v>0</v>
      </c>
      <c r="J126" s="381">
        <f t="shared" si="8"/>
        <v>0</v>
      </c>
    </row>
    <row r="127" spans="2:10" ht="12.75" outlineLevel="1">
      <c r="B127" s="1"/>
      <c r="C127" s="291" t="str">
        <f>'C. Masterfiles'!C90</f>
        <v>S07</v>
      </c>
      <c r="D127" s="291" t="str">
        <f>'C. Masterfiles'!D90</f>
        <v>Terminating calls (national) </v>
      </c>
      <c r="E127" s="291" t="str">
        <f>'C. Masterfiles'!E90</f>
        <v>Voice Minutes</v>
      </c>
      <c r="F127" s="291" t="str">
        <f>'C. Masterfiles'!F90</f>
        <v>No</v>
      </c>
      <c r="G127" s="1"/>
      <c r="H127" s="393">
        <f t="shared" si="7"/>
        <v>0.525413055948499</v>
      </c>
      <c r="I127" s="391">
        <f>IF(F127="no",0,IF(H127="","",H127*'10.Mark ups'!G$61))</f>
        <v>0</v>
      </c>
      <c r="J127" s="381">
        <f t="shared" si="8"/>
        <v>0</v>
      </c>
    </row>
    <row r="128" spans="2:10" ht="12.75" outlineLevel="1">
      <c r="B128" s="1"/>
      <c r="C128" s="291" t="str">
        <f>'C. Masterfiles'!C91</f>
        <v>S08</v>
      </c>
      <c r="D128" s="291" t="str">
        <f>'C. Masterfiles'!D91</f>
        <v>Terminating calls (international)</v>
      </c>
      <c r="E128" s="291" t="str">
        <f>'C. Masterfiles'!E91</f>
        <v>Voice Minutes</v>
      </c>
      <c r="F128" s="291" t="str">
        <f>'C. Masterfiles'!F91</f>
        <v>No</v>
      </c>
      <c r="G128" s="1"/>
      <c r="H128" s="393">
        <f t="shared" si="7"/>
        <v>0.44376179826952133</v>
      </c>
      <c r="I128" s="391">
        <f>IF(F128="no",0,IF(H128="","",H128*'10.Mark ups'!G$61))</f>
        <v>0</v>
      </c>
      <c r="J128" s="381">
        <f t="shared" si="8"/>
        <v>0</v>
      </c>
    </row>
    <row r="129" spans="2:10" ht="12.75" outlineLevel="1">
      <c r="B129" s="1"/>
      <c r="C129" s="291" t="str">
        <f>'C. Masterfiles'!C92</f>
        <v>S09</v>
      </c>
      <c r="D129" s="291" t="str">
        <f>'C. Masterfiles'!D92</f>
        <v>Transit calls</v>
      </c>
      <c r="E129" s="291" t="str">
        <f>'C. Masterfiles'!E92</f>
        <v>Voice Minutes</v>
      </c>
      <c r="F129" s="291" t="str">
        <f>'C. Masterfiles'!F92</f>
        <v>No</v>
      </c>
      <c r="G129" s="1"/>
      <c r="H129" s="393">
        <f t="shared" si="7"/>
        <v>0.4946748079030544</v>
      </c>
      <c r="I129" s="391">
        <f>IF(F129="no",0,IF(H129="","",H129*'10.Mark ups'!G$61))</f>
        <v>0</v>
      </c>
      <c r="J129" s="381">
        <f t="shared" si="8"/>
        <v>0</v>
      </c>
    </row>
    <row r="130" spans="2:10" ht="12.75" outlineLevel="1">
      <c r="B130" s="1"/>
      <c r="C130" s="291" t="str">
        <f>'C. Masterfiles'!C93</f>
        <v>S10</v>
      </c>
      <c r="D130" s="291" t="str">
        <f>'C. Masterfiles'!D93</f>
        <v>Calls to directory enquiries, emergency &amp; helpdesk</v>
      </c>
      <c r="E130" s="291" t="str">
        <f>'C. Masterfiles'!E93</f>
        <v>Voice Minutes</v>
      </c>
      <c r="F130" s="291" t="str">
        <f>'C. Masterfiles'!F93</f>
        <v>Yes</v>
      </c>
      <c r="G130" s="1"/>
      <c r="H130" s="393">
        <f t="shared" si="7"/>
        <v>9.434106370942425</v>
      </c>
      <c r="I130" s="391">
        <f>IF(F130="no",0,IF(H130="","",H130*'10.Mark ups'!G$61))</f>
        <v>0.6628070844485173</v>
      </c>
      <c r="J130" s="381">
        <f t="shared" si="8"/>
        <v>10.096913455390942</v>
      </c>
    </row>
    <row r="131" spans="2:10" ht="12.75" outlineLevel="1">
      <c r="B131" s="1"/>
      <c r="C131" s="291" t="str">
        <f>'C. Masterfiles'!C94</f>
        <v>S11</v>
      </c>
      <c r="D131" s="291" t="str">
        <f>'C. Masterfiles'!D94</f>
        <v>Calls to non-geographic numbers</v>
      </c>
      <c r="E131" s="291" t="str">
        <f>'C. Masterfiles'!E94</f>
        <v>Voice Minutes</v>
      </c>
      <c r="F131" s="291" t="str">
        <f>'C. Masterfiles'!F94</f>
        <v>Yes</v>
      </c>
      <c r="G131" s="1"/>
      <c r="H131" s="393">
        <f t="shared" si="7"/>
        <v>8.36388140578501</v>
      </c>
      <c r="I131" s="391">
        <f>IF(F131="no",0,IF(H131="","",H131*'10.Mark ups'!G$61))</f>
        <v>0.5876168479842722</v>
      </c>
      <c r="J131" s="381">
        <f t="shared" si="8"/>
        <v>8.951498253769282</v>
      </c>
    </row>
    <row r="132" spans="2:10" ht="12.75" outlineLevel="1">
      <c r="B132" s="1"/>
      <c r="C132" s="291" t="str">
        <f>'C. Masterfiles'!C95</f>
        <v>S12</v>
      </c>
      <c r="D132" s="291" t="str">
        <f>'C. Masterfiles'!D95</f>
        <v>Internet dial-up calls</v>
      </c>
      <c r="E132" s="291" t="str">
        <f>'C. Masterfiles'!E95</f>
        <v>Voice Minutes</v>
      </c>
      <c r="F132" s="291" t="str">
        <f>'C. Masterfiles'!F95</f>
        <v>Yes</v>
      </c>
      <c r="G132" s="1"/>
      <c r="H132" s="393">
        <f t="shared" si="7"/>
        <v>0.39540602674685743</v>
      </c>
      <c r="I132" s="391">
        <f>IF(F132="no",0,IF(H132="","",H132*'10.Mark ups'!G$61))</f>
        <v>0.027779834724852334</v>
      </c>
      <c r="J132" s="381">
        <f t="shared" si="8"/>
        <v>0.4231858614717098</v>
      </c>
    </row>
    <row r="133" spans="2:7" ht="12.75" outlineLevel="1">
      <c r="B133" s="1"/>
      <c r="C133" s="85"/>
      <c r="D133" s="85"/>
      <c r="E133" s="85"/>
      <c r="G133" s="1"/>
    </row>
    <row r="134" spans="2:7" ht="12.75" outlineLevel="1">
      <c r="B134" s="1"/>
      <c r="C134" s="83"/>
      <c r="D134" s="102"/>
      <c r="E134" s="102"/>
      <c r="G134" s="1"/>
    </row>
    <row r="135" spans="2:7" ht="18" outlineLevel="1">
      <c r="B135" s="1"/>
      <c r="C135" s="394">
        <f>C46</f>
        <v>2010</v>
      </c>
      <c r="D135" s="83"/>
      <c r="E135" s="83"/>
      <c r="G135" s="1"/>
    </row>
    <row r="136" spans="2:10" ht="12.75" outlineLevel="1">
      <c r="B136" s="1"/>
      <c r="C136" s="83"/>
      <c r="D136" s="83"/>
      <c r="E136" s="83"/>
      <c r="G136" s="1"/>
      <c r="H136" s="658" t="str">
        <f>K47</f>
        <v>Moldova Lei</v>
      </c>
      <c r="I136" s="659"/>
      <c r="J136" s="660"/>
    </row>
    <row r="137" spans="2:10" ht="12.75" outlineLevel="1">
      <c r="B137" s="1"/>
      <c r="C137" s="103"/>
      <c r="D137" s="103" t="str">
        <f>'8.Routing factors'!D32</f>
        <v>Service</v>
      </c>
      <c r="E137" s="90" t="s">
        <v>652</v>
      </c>
      <c r="F137" s="90" t="s">
        <v>793</v>
      </c>
      <c r="G137" s="1"/>
      <c r="H137" s="92" t="s">
        <v>797</v>
      </c>
      <c r="I137" s="92" t="s">
        <v>796</v>
      </c>
      <c r="J137" s="92" t="s">
        <v>786</v>
      </c>
    </row>
    <row r="138" spans="2:10" ht="12.75" outlineLevel="1">
      <c r="B138" s="1"/>
      <c r="C138" s="291" t="str">
        <f>'C. Masterfiles'!C84</f>
        <v>S01</v>
      </c>
      <c r="D138" s="291" t="str">
        <f>'C. Masterfiles'!D84</f>
        <v>On-net local calls</v>
      </c>
      <c r="E138" s="291" t="str">
        <f>'C. Masterfiles'!E84</f>
        <v>Voice Minutes</v>
      </c>
      <c r="F138" s="291" t="str">
        <f>'C. Masterfiles'!F84</f>
        <v>Yes</v>
      </c>
      <c r="G138" s="1"/>
      <c r="H138" s="393">
        <f aca="true" t="shared" si="9" ref="H138:H149">M49</f>
        <v>0.34964601942766</v>
      </c>
      <c r="I138" s="391">
        <f>IF(F138="no",0,IF(H138="","",H138*'10.Mark ups'!H$61))</f>
        <v>0.027544475333805142</v>
      </c>
      <c r="J138" s="381">
        <f>IF(F138="no",0,IF(H138="","",SUM(H138:I138)))</f>
        <v>0.37719049476146516</v>
      </c>
    </row>
    <row r="139" spans="2:10" ht="12.75" outlineLevel="1">
      <c r="B139" s="1"/>
      <c r="C139" s="291" t="str">
        <f>'C. Masterfiles'!C85</f>
        <v>S02</v>
      </c>
      <c r="D139" s="291" t="str">
        <f>'C. Masterfiles'!D85</f>
        <v>On-net national calls</v>
      </c>
      <c r="E139" s="291" t="str">
        <f>'C. Masterfiles'!E85</f>
        <v>Voice Minutes</v>
      </c>
      <c r="F139" s="291" t="str">
        <f>'C. Masterfiles'!F85</f>
        <v>Yes</v>
      </c>
      <c r="G139" s="1"/>
      <c r="H139" s="393">
        <f t="shared" si="9"/>
        <v>0.8074761120655851</v>
      </c>
      <c r="I139" s="391">
        <f>IF(F139="no",0,IF(H139="","",H139*'10.Mark ups'!H$61))</f>
        <v>0.06361149452762194</v>
      </c>
      <c r="J139" s="381">
        <f aca="true" t="shared" si="10" ref="J139:J149">IF(F139="no",0,IF(H139="","",SUM(H139:I139)))</f>
        <v>0.871087606593207</v>
      </c>
    </row>
    <row r="140" spans="2:10" ht="12.75" outlineLevel="1">
      <c r="B140" s="1"/>
      <c r="C140" s="291" t="str">
        <f>'C. Masterfiles'!C86</f>
        <v>S03</v>
      </c>
      <c r="D140" s="291" t="str">
        <f>'C. Masterfiles'!D86</f>
        <v>Originating calls (local)</v>
      </c>
      <c r="E140" s="291" t="str">
        <f>'C. Masterfiles'!E86</f>
        <v>Voice Minutes</v>
      </c>
      <c r="F140" s="291" t="str">
        <f>'C. Masterfiles'!F86</f>
        <v>Yes</v>
      </c>
      <c r="G140" s="1"/>
      <c r="H140" s="393">
        <f t="shared" si="9"/>
        <v>0.10153915611972017</v>
      </c>
      <c r="I140" s="391">
        <f>IF(F140="no",0,IF(H140="","",H140*'10.Mark ups'!H$61))</f>
        <v>0.007999069418073768</v>
      </c>
      <c r="J140" s="381">
        <f t="shared" si="10"/>
        <v>0.10953822553779394</v>
      </c>
    </row>
    <row r="141" spans="2:10" ht="12.75" outlineLevel="1">
      <c r="B141" s="1"/>
      <c r="C141" s="291" t="str">
        <f>'C. Masterfiles'!C87</f>
        <v>S04</v>
      </c>
      <c r="D141" s="291" t="str">
        <f>'C. Masterfiles'!D87</f>
        <v>Originating calls (national) </v>
      </c>
      <c r="E141" s="291" t="str">
        <f>'C. Masterfiles'!E87</f>
        <v>Voice Minutes</v>
      </c>
      <c r="F141" s="291" t="str">
        <f>'C. Masterfiles'!F87</f>
        <v>Yes</v>
      </c>
      <c r="G141" s="1"/>
      <c r="H141" s="393">
        <f t="shared" si="9"/>
        <v>0.5079979130894579</v>
      </c>
      <c r="I141" s="391">
        <f>IF(F141="no",0,IF(H141="","",H141*'10.Mark ups'!H$61))</f>
        <v>0.04001914853663033</v>
      </c>
      <c r="J141" s="381">
        <f t="shared" si="10"/>
        <v>0.5480170616260882</v>
      </c>
    </row>
    <row r="142" spans="2:10" ht="12.75" outlineLevel="1">
      <c r="B142" s="1"/>
      <c r="C142" s="291" t="str">
        <f>'C. Masterfiles'!C88</f>
        <v>S05</v>
      </c>
      <c r="D142" s="291" t="str">
        <f>'C. Masterfiles'!D88</f>
        <v>Originating calls (international)</v>
      </c>
      <c r="E142" s="291" t="str">
        <f>'C. Masterfiles'!E88</f>
        <v>Voice Minutes</v>
      </c>
      <c r="F142" s="291" t="str">
        <f>'C. Masterfiles'!F88</f>
        <v>Yes</v>
      </c>
      <c r="G142" s="1"/>
      <c r="H142" s="393">
        <f t="shared" si="9"/>
        <v>0.4293989047487239</v>
      </c>
      <c r="I142" s="391">
        <f>IF(F142="no",0,IF(H142="","",H142*'10.Mark ups'!H$61))</f>
        <v>0.0338272620966052</v>
      </c>
      <c r="J142" s="381">
        <f t="shared" si="10"/>
        <v>0.4632261668453291</v>
      </c>
    </row>
    <row r="143" spans="2:10" ht="12.75" outlineLevel="1">
      <c r="B143" s="1"/>
      <c r="C143" s="291" t="str">
        <f>'C. Masterfiles'!C89</f>
        <v>S06</v>
      </c>
      <c r="D143" s="291" t="str">
        <f>'C. Masterfiles'!D89</f>
        <v>Terminating calls (local)</v>
      </c>
      <c r="E143" s="291" t="str">
        <f>'C. Masterfiles'!E89</f>
        <v>Voice Minutes</v>
      </c>
      <c r="F143" s="291" t="str">
        <f>'C. Masterfiles'!F89</f>
        <v>No</v>
      </c>
      <c r="G143" s="1"/>
      <c r="H143" s="393">
        <f t="shared" si="9"/>
        <v>0.1085664973761497</v>
      </c>
      <c r="I143" s="391">
        <f>IF(F143="no",0,IF(H143="","",H143*'10.Mark ups'!H$61))</f>
        <v>0</v>
      </c>
      <c r="J143" s="381">
        <f t="shared" si="10"/>
        <v>0</v>
      </c>
    </row>
    <row r="144" spans="2:10" ht="12.75" outlineLevel="1">
      <c r="B144" s="1"/>
      <c r="C144" s="291" t="str">
        <f>'C. Masterfiles'!C90</f>
        <v>S07</v>
      </c>
      <c r="D144" s="291" t="str">
        <f>'C. Masterfiles'!D90</f>
        <v>Terminating calls (national) </v>
      </c>
      <c r="E144" s="291" t="str">
        <f>'C. Masterfiles'!E90</f>
        <v>Voice Minutes</v>
      </c>
      <c r="F144" s="291" t="str">
        <f>'C. Masterfiles'!F90</f>
        <v>No</v>
      </c>
      <c r="G144" s="1"/>
      <c r="H144" s="393">
        <f t="shared" si="9"/>
        <v>0.5171051514945402</v>
      </c>
      <c r="I144" s="391">
        <f>IF(F144="no",0,IF(H144="","",H144*'10.Mark ups'!H$61))</f>
        <v>0</v>
      </c>
      <c r="J144" s="381">
        <f t="shared" si="10"/>
        <v>0</v>
      </c>
    </row>
    <row r="145" spans="2:10" ht="12.75">
      <c r="B145" s="1"/>
      <c r="C145" s="291" t="str">
        <f>'C. Masterfiles'!C91</f>
        <v>S08</v>
      </c>
      <c r="D145" s="291" t="str">
        <f>'C. Masterfiles'!D91</f>
        <v>Terminating calls (international)</v>
      </c>
      <c r="E145" s="291" t="str">
        <f>'C. Masterfiles'!E91</f>
        <v>Voice Minutes</v>
      </c>
      <c r="F145" s="291" t="str">
        <f>'C. Masterfiles'!F91</f>
        <v>No</v>
      </c>
      <c r="G145" s="1"/>
      <c r="H145" s="393">
        <f t="shared" si="9"/>
        <v>0.43724322532810145</v>
      </c>
      <c r="I145" s="391">
        <f>IF(F145="no",0,IF(H145="","",H145*'10.Mark ups'!H$61))</f>
        <v>0</v>
      </c>
      <c r="J145" s="381">
        <f t="shared" si="10"/>
        <v>0</v>
      </c>
    </row>
    <row r="146" spans="2:10" ht="12.75">
      <c r="B146" s="1"/>
      <c r="C146" s="291" t="str">
        <f>'C. Masterfiles'!C92</f>
        <v>S09</v>
      </c>
      <c r="D146" s="291" t="str">
        <f>'C. Masterfiles'!D92</f>
        <v>Transit calls</v>
      </c>
      <c r="E146" s="291" t="str">
        <f>'C. Masterfiles'!E92</f>
        <v>Voice Minutes</v>
      </c>
      <c r="F146" s="291" t="str">
        <f>'C. Masterfiles'!F92</f>
        <v>No</v>
      </c>
      <c r="G146" s="1"/>
      <c r="H146" s="393">
        <f t="shared" si="9"/>
        <v>0.48448021704851835</v>
      </c>
      <c r="I146" s="391">
        <f>IF(F146="no",0,IF(H146="","",H146*'10.Mark ups'!H$61))</f>
        <v>0</v>
      </c>
      <c r="J146" s="381">
        <f t="shared" si="10"/>
        <v>0</v>
      </c>
    </row>
    <row r="147" spans="2:10" ht="12.75">
      <c r="B147" s="1"/>
      <c r="C147" s="291" t="str">
        <f>'C. Masterfiles'!C93</f>
        <v>S10</v>
      </c>
      <c r="D147" s="291" t="str">
        <f>'C. Masterfiles'!D93</f>
        <v>Calls to directory enquiries, emergency &amp; helpdesk</v>
      </c>
      <c r="E147" s="291" t="str">
        <f>'C. Masterfiles'!E93</f>
        <v>Voice Minutes</v>
      </c>
      <c r="F147" s="291" t="str">
        <f>'C. Masterfiles'!F93</f>
        <v>Yes</v>
      </c>
      <c r="G147" s="1"/>
      <c r="H147" s="393">
        <f t="shared" si="9"/>
        <v>10.271038905521563</v>
      </c>
      <c r="I147" s="391">
        <f>IF(F147="no",0,IF(H147="","",H147*'10.Mark ups'!H$61))</f>
        <v>0.8091337011323373</v>
      </c>
      <c r="J147" s="381">
        <f t="shared" si="10"/>
        <v>11.0801726066539</v>
      </c>
    </row>
    <row r="148" spans="2:10" ht="12.75">
      <c r="B148" s="1"/>
      <c r="C148" s="291" t="str">
        <f>'C. Masterfiles'!C94</f>
        <v>S11</v>
      </c>
      <c r="D148" s="291" t="str">
        <f>'C. Masterfiles'!D94</f>
        <v>Calls to non-geographic numbers</v>
      </c>
      <c r="E148" s="291" t="str">
        <f>'C. Masterfiles'!E94</f>
        <v>Voice Minutes</v>
      </c>
      <c r="F148" s="291" t="str">
        <f>'C. Masterfiles'!F94</f>
        <v>Yes</v>
      </c>
      <c r="G148" s="1"/>
      <c r="H148" s="393">
        <f t="shared" si="9"/>
        <v>9.105870544833031</v>
      </c>
      <c r="I148" s="391">
        <f>IF(F148="no",0,IF(H148="","",H148*'10.Mark ups'!H$61))</f>
        <v>0.717343864018646</v>
      </c>
      <c r="J148" s="381">
        <f t="shared" si="10"/>
        <v>9.823214408851678</v>
      </c>
    </row>
    <row r="149" spans="3:10" s="83" customFormat="1" ht="12.75">
      <c r="C149" s="291" t="str">
        <f>'C. Masterfiles'!C95</f>
        <v>S12</v>
      </c>
      <c r="D149" s="291" t="str">
        <f>'C. Masterfiles'!D95</f>
        <v>Internet dial-up calls</v>
      </c>
      <c r="E149" s="291" t="str">
        <f>'C. Masterfiles'!E95</f>
        <v>Voice Minutes</v>
      </c>
      <c r="F149" s="291" t="str">
        <f>'C. Masterfiles'!F95</f>
        <v>Yes</v>
      </c>
      <c r="H149" s="393">
        <f t="shared" si="9"/>
        <v>0.3901698690062478</v>
      </c>
      <c r="I149" s="391">
        <f>IF(F149="no",0,IF(H149="","",H149*'10.Mark ups'!H$61))</f>
        <v>0.030736870250742496</v>
      </c>
      <c r="J149" s="381">
        <f t="shared" si="10"/>
        <v>0.4209067392569903</v>
      </c>
    </row>
    <row r="150" spans="2:7" ht="12.75" outlineLevel="1">
      <c r="B150" s="1"/>
      <c r="C150" s="291" t="str">
        <f>'C. Masterfiles'!C96</f>
        <v>End</v>
      </c>
      <c r="D150" s="291" t="str">
        <f>'C. Masterfiles'!D96</f>
        <v>End of list</v>
      </c>
      <c r="E150" s="291" t="str">
        <f>'C. Masterfiles'!E96</f>
        <v>End</v>
      </c>
      <c r="F150" s="291" t="str">
        <f>'C. Masterfiles'!F96</f>
        <v>End</v>
      </c>
      <c r="G150" s="1"/>
    </row>
    <row r="151" spans="2:7" ht="12.75" outlineLevel="1">
      <c r="B151" s="1"/>
      <c r="C151" s="85"/>
      <c r="D151" s="85"/>
      <c r="E151" s="395"/>
      <c r="G151" s="1"/>
    </row>
    <row r="152" spans="2:7" ht="12.75" outlineLevel="1">
      <c r="B152" s="1"/>
      <c r="C152" s="83"/>
      <c r="D152" s="102"/>
      <c r="E152" s="102"/>
      <c r="G152" s="1"/>
    </row>
    <row r="153" spans="2:7" ht="18" outlineLevel="1">
      <c r="B153" s="1"/>
      <c r="C153" s="394">
        <f>C63</f>
        <v>2011</v>
      </c>
      <c r="D153" s="83"/>
      <c r="E153" s="83"/>
      <c r="G153" s="1"/>
    </row>
    <row r="154" spans="2:10" ht="12.75" outlineLevel="1">
      <c r="B154" s="1"/>
      <c r="C154" s="83"/>
      <c r="D154" s="83"/>
      <c r="E154" s="83"/>
      <c r="G154" s="1"/>
      <c r="H154" s="658" t="str">
        <f>K64</f>
        <v>Moldova Lei</v>
      </c>
      <c r="I154" s="659"/>
      <c r="J154" s="660"/>
    </row>
    <row r="155" spans="2:10" ht="12.75" outlineLevel="1">
      <c r="B155" s="1"/>
      <c r="C155" s="103"/>
      <c r="D155" s="103" t="str">
        <f>'8.Routing factors'!D32</f>
        <v>Service</v>
      </c>
      <c r="E155" s="90" t="s">
        <v>652</v>
      </c>
      <c r="F155" s="90" t="s">
        <v>793</v>
      </c>
      <c r="G155" s="1"/>
      <c r="H155" s="92" t="s">
        <v>797</v>
      </c>
      <c r="I155" s="92" t="s">
        <v>796</v>
      </c>
      <c r="J155" s="92" t="s">
        <v>786</v>
      </c>
    </row>
    <row r="156" spans="2:10" ht="12.75" outlineLevel="1">
      <c r="B156" s="1"/>
      <c r="C156" s="291" t="str">
        <f>'C. Masterfiles'!C84</f>
        <v>S01</v>
      </c>
      <c r="D156" s="291" t="str">
        <f>'C. Masterfiles'!D84</f>
        <v>On-net local calls</v>
      </c>
      <c r="E156" s="291" t="str">
        <f>'C. Masterfiles'!E84</f>
        <v>Voice Minutes</v>
      </c>
      <c r="F156" s="291" t="str">
        <f>'C. Masterfiles'!F84</f>
        <v>Yes</v>
      </c>
      <c r="G156" s="1"/>
      <c r="H156" s="393">
        <f aca="true" t="shared" si="11" ref="H156:H167">M66</f>
        <v>0.3421737791124228</v>
      </c>
      <c r="I156" s="391">
        <f>IF(F156="no",0,IF(H156="","",H156*'10.Mark ups'!I$61))</f>
        <v>0.029768037179487786</v>
      </c>
      <c r="J156" s="381">
        <f>IF(F156="no",0,IF(H156="","",SUM(H156:I156)))</f>
        <v>0.3719418162919106</v>
      </c>
    </row>
    <row r="157" spans="2:10" ht="12.75" outlineLevel="1">
      <c r="B157" s="1"/>
      <c r="C157" s="291" t="str">
        <f>'C. Masterfiles'!C85</f>
        <v>S02</v>
      </c>
      <c r="D157" s="291" t="str">
        <f>'C. Masterfiles'!D85</f>
        <v>On-net national calls</v>
      </c>
      <c r="E157" s="291" t="str">
        <f>'C. Masterfiles'!E85</f>
        <v>Voice Minutes</v>
      </c>
      <c r="F157" s="291" t="str">
        <f>'C. Masterfiles'!F85</f>
        <v>Yes</v>
      </c>
      <c r="G157" s="1"/>
      <c r="H157" s="393">
        <f t="shared" si="11"/>
        <v>0.7783723840590274</v>
      </c>
      <c r="I157" s="391">
        <f>IF(F157="no",0,IF(H157="","",H157*'10.Mark ups'!I$61))</f>
        <v>0.06771593699627948</v>
      </c>
      <c r="J157" s="381">
        <f aca="true" t="shared" si="12" ref="J157:J167">IF(F157="no",0,IF(H157="","",SUM(H157:I157)))</f>
        <v>0.846088321055307</v>
      </c>
    </row>
    <row r="158" spans="2:10" ht="12.75" outlineLevel="1">
      <c r="B158" s="1"/>
      <c r="C158" s="291" t="str">
        <f>'C. Masterfiles'!C86</f>
        <v>S03</v>
      </c>
      <c r="D158" s="291" t="str">
        <f>'C. Masterfiles'!D86</f>
        <v>Originating calls (local)</v>
      </c>
      <c r="E158" s="291" t="str">
        <f>'C. Masterfiles'!E86</f>
        <v>Voice Minutes</v>
      </c>
      <c r="F158" s="291" t="str">
        <f>'C. Masterfiles'!F86</f>
        <v>Yes</v>
      </c>
      <c r="G158" s="1"/>
      <c r="H158" s="393">
        <f t="shared" si="11"/>
        <v>0.10269180072879973</v>
      </c>
      <c r="I158" s="391">
        <f>IF(F158="no",0,IF(H158="","",H158*'10.Mark ups'!I$61))</f>
        <v>0.008933862057031236</v>
      </c>
      <c r="J158" s="381">
        <f t="shared" si="12"/>
        <v>0.11162566278583097</v>
      </c>
    </row>
    <row r="159" spans="2:10" ht="12.75" outlineLevel="1">
      <c r="B159" s="1"/>
      <c r="C159" s="291" t="str">
        <f>'C. Masterfiles'!C87</f>
        <v>S04</v>
      </c>
      <c r="D159" s="291" t="str">
        <f>'C. Masterfiles'!D87</f>
        <v>Originating calls (national) </v>
      </c>
      <c r="E159" s="291" t="str">
        <f>'C. Masterfiles'!E87</f>
        <v>Voice Minutes</v>
      </c>
      <c r="F159" s="291" t="str">
        <f>'C. Masterfiles'!F87</f>
        <v>Yes</v>
      </c>
      <c r="G159" s="1"/>
      <c r="H159" s="393">
        <f t="shared" si="11"/>
        <v>0.4916691216893409</v>
      </c>
      <c r="I159" s="391">
        <f>IF(F159="no",0,IF(H159="","",H159*'10.Mark ups'!I$61))</f>
        <v>0.04277365943240692</v>
      </c>
      <c r="J159" s="381">
        <f t="shared" si="12"/>
        <v>0.5344427811217478</v>
      </c>
    </row>
    <row r="160" spans="2:10" ht="12.75" outlineLevel="1">
      <c r="B160" s="1"/>
      <c r="C160" s="291" t="str">
        <f>'C. Masterfiles'!C88</f>
        <v>S05</v>
      </c>
      <c r="D160" s="291" t="str">
        <f>'C. Masterfiles'!D88</f>
        <v>Originating calls (international)</v>
      </c>
      <c r="E160" s="291" t="str">
        <f>'C. Masterfiles'!E88</f>
        <v>Voice Minutes</v>
      </c>
      <c r="F160" s="291" t="str">
        <f>'C. Masterfiles'!F88</f>
        <v>Yes</v>
      </c>
      <c r="G160" s="1"/>
      <c r="H160" s="393">
        <f t="shared" si="11"/>
        <v>0.41516022355609394</v>
      </c>
      <c r="I160" s="391">
        <f>IF(F160="no",0,IF(H160="","",H160*'10.Mark ups'!I$61))</f>
        <v>0.036117627137647566</v>
      </c>
      <c r="J160" s="381">
        <f t="shared" si="12"/>
        <v>0.4512778506937415</v>
      </c>
    </row>
    <row r="161" spans="2:10" ht="12.75" outlineLevel="1">
      <c r="B161" s="1"/>
      <c r="C161" s="291" t="str">
        <f>'C. Masterfiles'!C89</f>
        <v>S06</v>
      </c>
      <c r="D161" s="291" t="str">
        <f>'C. Masterfiles'!D89</f>
        <v>Terminating calls (local)</v>
      </c>
      <c r="E161" s="291" t="str">
        <f>'C. Masterfiles'!E89</f>
        <v>Voice Minutes</v>
      </c>
      <c r="F161" s="291" t="str">
        <f>'C. Masterfiles'!F89</f>
        <v>No</v>
      </c>
      <c r="G161" s="1"/>
      <c r="H161" s="393">
        <f t="shared" si="11"/>
        <v>0.10990083301302844</v>
      </c>
      <c r="I161" s="391">
        <f>IF(F161="no",0,IF(H161="","",H161*'10.Mark ups'!I$61))</f>
        <v>0</v>
      </c>
      <c r="J161" s="381">
        <f t="shared" si="12"/>
        <v>0</v>
      </c>
    </row>
    <row r="162" spans="2:10" ht="12.75" outlineLevel="1">
      <c r="B162" s="1"/>
      <c r="C162" s="291" t="str">
        <f>'C. Masterfiles'!C90</f>
        <v>S07</v>
      </c>
      <c r="D162" s="291" t="str">
        <f>'C. Masterfiles'!D90</f>
        <v>Terminating calls (national) </v>
      </c>
      <c r="E162" s="291" t="str">
        <f>'C. Masterfiles'!E90</f>
        <v>Voice Minutes</v>
      </c>
      <c r="F162" s="291" t="str">
        <f>'C. Masterfiles'!F90</f>
        <v>No</v>
      </c>
      <c r="G162" s="1"/>
      <c r="H162" s="393">
        <f t="shared" si="11"/>
        <v>0.5009995492941419</v>
      </c>
      <c r="I162" s="391">
        <f>IF(F162="no",0,IF(H162="","",H162*'10.Mark ups'!I$61))</f>
        <v>0</v>
      </c>
      <c r="J162" s="381">
        <f t="shared" si="12"/>
        <v>0</v>
      </c>
    </row>
    <row r="163" spans="2:10" ht="12.75" outlineLevel="1">
      <c r="B163" s="1"/>
      <c r="C163" s="291" t="str">
        <f>'C. Masterfiles'!C91</f>
        <v>S08</v>
      </c>
      <c r="D163" s="291" t="str">
        <f>'C. Masterfiles'!D91</f>
        <v>Terminating calls (international)</v>
      </c>
      <c r="E163" s="291" t="str">
        <f>'C. Masterfiles'!E91</f>
        <v>Voice Minutes</v>
      </c>
      <c r="F163" s="291" t="str">
        <f>'C. Masterfiles'!F91</f>
        <v>No</v>
      </c>
      <c r="G163" s="1"/>
      <c r="H163" s="393">
        <f t="shared" si="11"/>
        <v>0.4231967832703854</v>
      </c>
      <c r="I163" s="391">
        <f>IF(F163="no",0,IF(H163="","",H163*'10.Mark ups'!I$61))</f>
        <v>0</v>
      </c>
      <c r="J163" s="381">
        <f t="shared" si="12"/>
        <v>0</v>
      </c>
    </row>
    <row r="164" spans="2:10" ht="12.75" outlineLevel="1">
      <c r="B164" s="1"/>
      <c r="C164" s="291" t="str">
        <f>'C. Masterfiles'!C92</f>
        <v>S09</v>
      </c>
      <c r="D164" s="291" t="str">
        <f>'C. Masterfiles'!D92</f>
        <v>Transit calls</v>
      </c>
      <c r="E164" s="291" t="str">
        <f>'C. Masterfiles'!E92</f>
        <v>Voice Minutes</v>
      </c>
      <c r="F164" s="291" t="str">
        <f>'C. Masterfiles'!F92</f>
        <v>No</v>
      </c>
      <c r="G164" s="1"/>
      <c r="H164" s="393">
        <f t="shared" si="11"/>
        <v>0.4662598360891251</v>
      </c>
      <c r="I164" s="391">
        <f>IF(F164="no",0,IF(H164="","",H164*'10.Mark ups'!I$61))</f>
        <v>0</v>
      </c>
      <c r="J164" s="381">
        <f t="shared" si="12"/>
        <v>0</v>
      </c>
    </row>
    <row r="165" spans="2:10" ht="12.75" outlineLevel="1">
      <c r="B165" s="1"/>
      <c r="C165" s="291" t="str">
        <f>'C. Masterfiles'!C93</f>
        <v>S10</v>
      </c>
      <c r="D165" s="291" t="str">
        <f>'C. Masterfiles'!D93</f>
        <v>Calls to directory enquiries, emergency &amp; helpdesk</v>
      </c>
      <c r="E165" s="291" t="str">
        <f>'C. Masterfiles'!E93</f>
        <v>Voice Minutes</v>
      </c>
      <c r="F165" s="291" t="str">
        <f>'C. Masterfiles'!F93</f>
        <v>Yes</v>
      </c>
      <c r="G165" s="1"/>
      <c r="H165" s="393">
        <f t="shared" si="11"/>
        <v>10.494977766628292</v>
      </c>
      <c r="I165" s="391">
        <f>IF(F165="no",0,IF(H165="","",H165*'10.Mark ups'!I$61))</f>
        <v>0.9130298913180116</v>
      </c>
      <c r="J165" s="381">
        <f t="shared" si="12"/>
        <v>11.408007657946303</v>
      </c>
    </row>
    <row r="166" spans="2:10" ht="12.75" outlineLevel="1">
      <c r="B166" s="1"/>
      <c r="C166" s="291" t="str">
        <f>'C. Masterfiles'!C94</f>
        <v>S11</v>
      </c>
      <c r="D166" s="291" t="str">
        <f>'C. Masterfiles'!D94</f>
        <v>Calls to non-geographic numbers</v>
      </c>
      <c r="E166" s="291" t="str">
        <f>'C. Masterfiles'!E94</f>
        <v>Voice Minutes</v>
      </c>
      <c r="F166" s="291" t="str">
        <f>'C. Masterfiles'!F94</f>
        <v>Yes</v>
      </c>
      <c r="G166" s="1"/>
      <c r="H166" s="393">
        <f t="shared" si="11"/>
        <v>9.304405308253987</v>
      </c>
      <c r="I166" s="391">
        <f>IF(F166="no",0,IF(H166="","",H166*'10.Mark ups'!I$61))</f>
        <v>0.8094538508110732</v>
      </c>
      <c r="J166" s="381">
        <f t="shared" si="12"/>
        <v>10.11385915906506</v>
      </c>
    </row>
    <row r="167" spans="2:10" ht="12.75" outlineLevel="1">
      <c r="B167" s="1"/>
      <c r="C167" s="291" t="str">
        <f>'C. Masterfiles'!C95</f>
        <v>S12</v>
      </c>
      <c r="D167" s="291" t="str">
        <f>'C. Masterfiles'!D95</f>
        <v>Internet dial-up calls</v>
      </c>
      <c r="E167" s="291" t="str">
        <f>'C. Masterfiles'!E95</f>
        <v>Voice Minutes</v>
      </c>
      <c r="F167" s="291" t="str">
        <f>'C. Masterfiles'!F95</f>
        <v>Yes</v>
      </c>
      <c r="G167" s="1"/>
      <c r="H167" s="393">
        <f t="shared" si="11"/>
        <v>0.37723200560158654</v>
      </c>
      <c r="I167" s="391">
        <f>IF(F167="no",0,IF(H167="","",H167*'10.Mark ups'!I$61))</f>
        <v>0.032817992065813095</v>
      </c>
      <c r="J167" s="381">
        <f t="shared" si="12"/>
        <v>0.41004999766739963</v>
      </c>
    </row>
    <row r="168" spans="2:7" ht="12.75" outlineLevel="1">
      <c r="B168" s="1"/>
      <c r="C168" s="85"/>
      <c r="D168" s="85"/>
      <c r="E168" s="395"/>
      <c r="G168" s="1"/>
    </row>
    <row r="169" spans="2:7" ht="12.75" outlineLevel="1">
      <c r="B169" s="1"/>
      <c r="C169" s="83"/>
      <c r="D169" s="102"/>
      <c r="E169" s="102"/>
      <c r="G169" s="1"/>
    </row>
    <row r="170" spans="2:7" ht="18" outlineLevel="1">
      <c r="B170" s="1"/>
      <c r="C170" s="394">
        <f>C80</f>
        <v>2012</v>
      </c>
      <c r="D170" s="83"/>
      <c r="E170" s="83"/>
      <c r="G170" s="1"/>
    </row>
    <row r="171" spans="2:10" ht="12.75" outlineLevel="1">
      <c r="B171" s="1"/>
      <c r="C171" s="83"/>
      <c r="D171" s="83"/>
      <c r="E171" s="83"/>
      <c r="G171" s="1"/>
      <c r="H171" s="658" t="str">
        <f>K81</f>
        <v>Moldova Lei</v>
      </c>
      <c r="I171" s="659"/>
      <c r="J171" s="660"/>
    </row>
    <row r="172" spans="2:10" ht="12.75" outlineLevel="1">
      <c r="B172" s="1"/>
      <c r="C172" s="103"/>
      <c r="D172" s="103" t="str">
        <f>'8.Routing factors'!D32</f>
        <v>Service</v>
      </c>
      <c r="E172" s="90" t="s">
        <v>652</v>
      </c>
      <c r="F172" s="90" t="s">
        <v>793</v>
      </c>
      <c r="G172" s="1"/>
      <c r="H172" s="92" t="s">
        <v>797</v>
      </c>
      <c r="I172" s="92" t="s">
        <v>796</v>
      </c>
      <c r="J172" s="92" t="s">
        <v>786</v>
      </c>
    </row>
    <row r="173" spans="2:10" ht="12.75" outlineLevel="1">
      <c r="B173" s="1"/>
      <c r="C173" s="291" t="str">
        <f>'C. Masterfiles'!C84</f>
        <v>S01</v>
      </c>
      <c r="D173" s="291" t="str">
        <f>'C. Masterfiles'!D84</f>
        <v>On-net local calls</v>
      </c>
      <c r="E173" s="291" t="str">
        <f>'C. Masterfiles'!E84</f>
        <v>Voice Minutes</v>
      </c>
      <c r="F173" s="291" t="str">
        <f>'C. Masterfiles'!F84</f>
        <v>Yes</v>
      </c>
      <c r="G173" s="1"/>
      <c r="H173" s="393">
        <f aca="true" t="shared" si="13" ref="H173:H184">M83</f>
        <v>0.3371097661575994</v>
      </c>
      <c r="I173" s="391">
        <f>IF(F173="no",0,IF(H173="","",H173*'10.Mark ups'!J$61))</f>
        <v>0.032580363764162276</v>
      </c>
      <c r="J173" s="381">
        <f>IF(F173="no",0,IF(H173="","",SUM(H173:I173)))</f>
        <v>0.3696901299217617</v>
      </c>
    </row>
    <row r="174" spans="2:10" ht="12.75" outlineLevel="1">
      <c r="B174" s="1"/>
      <c r="C174" s="291" t="str">
        <f>'C. Masterfiles'!C85</f>
        <v>S02</v>
      </c>
      <c r="D174" s="291" t="str">
        <f>'C. Masterfiles'!D85</f>
        <v>On-net national calls</v>
      </c>
      <c r="E174" s="291" t="str">
        <f>'C. Masterfiles'!E85</f>
        <v>Voice Minutes</v>
      </c>
      <c r="F174" s="291" t="str">
        <f>'C. Masterfiles'!F85</f>
        <v>Yes</v>
      </c>
      <c r="G174" s="1"/>
      <c r="H174" s="393">
        <f t="shared" si="13"/>
        <v>0.7522789273860682</v>
      </c>
      <c r="I174" s="391">
        <f>IF(F174="no",0,IF(H174="","",H174*'10.Mark ups'!J$61))</f>
        <v>0.07270486816716451</v>
      </c>
      <c r="J174" s="381">
        <f aca="true" t="shared" si="14" ref="J174:J184">IF(F174="no",0,IF(H174="","",SUM(H174:I174)))</f>
        <v>0.8249837955532326</v>
      </c>
    </row>
    <row r="175" spans="2:10" ht="12.75" outlineLevel="1">
      <c r="B175" s="1"/>
      <c r="C175" s="291" t="str">
        <f>'C. Masterfiles'!C86</f>
        <v>S03</v>
      </c>
      <c r="D175" s="291" t="str">
        <f>'C. Masterfiles'!D86</f>
        <v>Originating calls (local)</v>
      </c>
      <c r="E175" s="291" t="str">
        <f>'C. Masterfiles'!E86</f>
        <v>Voice Minutes</v>
      </c>
      <c r="F175" s="291" t="str">
        <f>'C. Masterfiles'!F86</f>
        <v>Yes</v>
      </c>
      <c r="G175" s="1"/>
      <c r="H175" s="393">
        <f t="shared" si="13"/>
        <v>0.10543798873853917</v>
      </c>
      <c r="I175" s="391">
        <f>IF(F175="no",0,IF(H175="","",H175*'10.Mark ups'!J$61))</f>
        <v>0.01019017653157306</v>
      </c>
      <c r="J175" s="381">
        <f t="shared" si="14"/>
        <v>0.11562816527011223</v>
      </c>
    </row>
    <row r="176" spans="2:10" ht="12.75" outlineLevel="1">
      <c r="B176" s="1"/>
      <c r="C176" s="291" t="str">
        <f>'C. Masterfiles'!C87</f>
        <v>S04</v>
      </c>
      <c r="D176" s="291" t="str">
        <f>'C. Masterfiles'!D87</f>
        <v>Originating calls (national) </v>
      </c>
      <c r="E176" s="291" t="str">
        <f>'C. Masterfiles'!E87</f>
        <v>Voice Minutes</v>
      </c>
      <c r="F176" s="291" t="str">
        <f>'C. Masterfiles'!F87</f>
        <v>Yes</v>
      </c>
      <c r="G176" s="1"/>
      <c r="H176" s="393">
        <f t="shared" si="13"/>
        <v>0.47747951860636</v>
      </c>
      <c r="I176" s="391">
        <f>IF(F176="no",0,IF(H176="","",H176*'10.Mark ups'!J$61))</f>
        <v>0.046146561054714826</v>
      </c>
      <c r="J176" s="381">
        <f t="shared" si="14"/>
        <v>0.5236260796610749</v>
      </c>
    </row>
    <row r="177" spans="2:10" ht="12.75" outlineLevel="1">
      <c r="B177" s="1"/>
      <c r="C177" s="291" t="str">
        <f>'C. Masterfiles'!C88</f>
        <v>S05</v>
      </c>
      <c r="D177" s="291" t="str">
        <f>'C. Masterfiles'!D88</f>
        <v>Originating calls (international)</v>
      </c>
      <c r="E177" s="291" t="str">
        <f>'C. Masterfiles'!E88</f>
        <v>Voice Minutes</v>
      </c>
      <c r="F177" s="291" t="str">
        <f>'C. Masterfiles'!F88</f>
        <v>Yes</v>
      </c>
      <c r="G177" s="1"/>
      <c r="H177" s="393">
        <f t="shared" si="13"/>
        <v>0.40261536214896027</v>
      </c>
      <c r="I177" s="391">
        <f>IF(F177="no",0,IF(H177="","",H177*'10.Mark ups'!J$61))</f>
        <v>0.038911227952146216</v>
      </c>
      <c r="J177" s="381">
        <f t="shared" si="14"/>
        <v>0.4415265901011065</v>
      </c>
    </row>
    <row r="178" spans="2:10" ht="12.75" outlineLevel="1">
      <c r="B178" s="1"/>
      <c r="C178" s="291" t="str">
        <f>'C. Masterfiles'!C89</f>
        <v>S06</v>
      </c>
      <c r="D178" s="291" t="str">
        <f>'C. Masterfiles'!D89</f>
        <v>Terminating calls (local)</v>
      </c>
      <c r="E178" s="291" t="str">
        <f>'C. Masterfiles'!E89</f>
        <v>Voice Minutes</v>
      </c>
      <c r="F178" s="291" t="str">
        <f>'C. Masterfiles'!F89</f>
        <v>No</v>
      </c>
      <c r="G178" s="1"/>
      <c r="H178" s="393">
        <f t="shared" si="13"/>
        <v>0.11302268422885775</v>
      </c>
      <c r="I178" s="391">
        <f>IF(F178="no",0,IF(H178="","",H178*'10.Mark ups'!J$61))</f>
        <v>0</v>
      </c>
      <c r="J178" s="381">
        <f t="shared" si="14"/>
        <v>0</v>
      </c>
    </row>
    <row r="179" spans="2:10" ht="12.75" outlineLevel="1">
      <c r="B179" s="1"/>
      <c r="C179" s="291" t="str">
        <f>'C. Masterfiles'!C90</f>
        <v>S07</v>
      </c>
      <c r="D179" s="291" t="str">
        <f>'C. Masterfiles'!D90</f>
        <v>Terminating calls (national) </v>
      </c>
      <c r="E179" s="291" t="str">
        <f>'C. Masterfiles'!E90</f>
        <v>Voice Minutes</v>
      </c>
      <c r="F179" s="291" t="str">
        <f>'C. Masterfiles'!F90</f>
        <v>No</v>
      </c>
      <c r="G179" s="1"/>
      <c r="H179" s="393">
        <f t="shared" si="13"/>
        <v>0.4872744369802942</v>
      </c>
      <c r="I179" s="391">
        <f>IF(F179="no",0,IF(H179="","",H179*'10.Mark ups'!J$61))</f>
        <v>0</v>
      </c>
      <c r="J179" s="381">
        <f t="shared" si="14"/>
        <v>0</v>
      </c>
    </row>
    <row r="180" spans="2:10" ht="12.75" outlineLevel="1">
      <c r="B180" s="1"/>
      <c r="C180" s="291" t="str">
        <f>'C. Masterfiles'!C91</f>
        <v>S08</v>
      </c>
      <c r="D180" s="291" t="str">
        <f>'C. Masterfiles'!D91</f>
        <v>Terminating calls (international)</v>
      </c>
      <c r="E180" s="291" t="str">
        <f>'C. Masterfiles'!E91</f>
        <v>Voice Minutes</v>
      </c>
      <c r="F180" s="291" t="str">
        <f>'C. Masterfiles'!F91</f>
        <v>No</v>
      </c>
      <c r="G180" s="1"/>
      <c r="H180" s="393">
        <f t="shared" si="13"/>
        <v>0.41105200082650906</v>
      </c>
      <c r="I180" s="391">
        <f>IF(F180="no",0,IF(H180="","",H180*'10.Mark ups'!J$61))</f>
        <v>0</v>
      </c>
      <c r="J180" s="381">
        <f t="shared" si="14"/>
        <v>0</v>
      </c>
    </row>
    <row r="181" spans="2:10" ht="12.75" outlineLevel="1">
      <c r="B181" s="1"/>
      <c r="C181" s="291" t="str">
        <f>'C. Masterfiles'!C92</f>
        <v>S09</v>
      </c>
      <c r="D181" s="291" t="str">
        <f>'C. Masterfiles'!D92</f>
        <v>Transit calls</v>
      </c>
      <c r="E181" s="291" t="str">
        <f>'C. Masterfiles'!E92</f>
        <v>Voice Minutes</v>
      </c>
      <c r="F181" s="291" t="str">
        <f>'C. Masterfiles'!F92</f>
        <v>No</v>
      </c>
      <c r="G181" s="1"/>
      <c r="H181" s="393">
        <f t="shared" si="13"/>
        <v>0.45068868511214283</v>
      </c>
      <c r="I181" s="391">
        <f>IF(F181="no",0,IF(H181="","",H181*'10.Mark ups'!J$61))</f>
        <v>0</v>
      </c>
      <c r="J181" s="381">
        <f t="shared" si="14"/>
        <v>0</v>
      </c>
    </row>
    <row r="182" spans="2:10" ht="12.75" outlineLevel="1">
      <c r="B182" s="1"/>
      <c r="C182" s="291" t="str">
        <f>'C. Masterfiles'!C93</f>
        <v>S10</v>
      </c>
      <c r="D182" s="291" t="str">
        <f>'C. Masterfiles'!D93</f>
        <v>Calls to directory enquiries, emergency &amp; helpdesk</v>
      </c>
      <c r="E182" s="291" t="str">
        <f>'C. Masterfiles'!E93</f>
        <v>Voice Minutes</v>
      </c>
      <c r="F182" s="291" t="str">
        <f>'C. Masterfiles'!F93</f>
        <v>Yes</v>
      </c>
      <c r="G182" s="1"/>
      <c r="H182" s="393">
        <f t="shared" si="13"/>
        <v>10.847192758061277</v>
      </c>
      <c r="I182" s="391">
        <f>IF(F182="no",0,IF(H182="","",H182*'10.Mark ups'!J$61))</f>
        <v>1.0483395064633203</v>
      </c>
      <c r="J182" s="381">
        <f t="shared" si="14"/>
        <v>11.895532264524597</v>
      </c>
    </row>
    <row r="183" spans="2:10" ht="12.75" outlineLevel="1">
      <c r="B183" s="1"/>
      <c r="C183" s="291" t="str">
        <f>'C. Masterfiles'!C94</f>
        <v>S11</v>
      </c>
      <c r="D183" s="291" t="str">
        <f>'C. Masterfiles'!D94</f>
        <v>Calls to non-geographic numbers</v>
      </c>
      <c r="E183" s="291" t="str">
        <f>'C. Masterfiles'!E94</f>
        <v>Voice Minutes</v>
      </c>
      <c r="F183" s="291" t="str">
        <f>'C. Masterfiles'!F94</f>
        <v>Yes</v>
      </c>
      <c r="G183" s="1"/>
      <c r="H183" s="393">
        <f t="shared" si="13"/>
        <v>9.61666428667282</v>
      </c>
      <c r="I183" s="391">
        <f>IF(F183="no",0,IF(H183="","",H183*'10.Mark ups'!J$61))</f>
        <v>0.9294136572452594</v>
      </c>
      <c r="J183" s="381">
        <f t="shared" si="14"/>
        <v>10.54607794391808</v>
      </c>
    </row>
    <row r="184" spans="2:10" ht="12.75" outlineLevel="1">
      <c r="B184" s="1"/>
      <c r="C184" s="291" t="str">
        <f>'C. Masterfiles'!C95</f>
        <v>S12</v>
      </c>
      <c r="D184" s="291" t="str">
        <f>'C. Masterfiles'!D95</f>
        <v>Internet dial-up calls</v>
      </c>
      <c r="E184" s="291" t="str">
        <f>'C. Masterfiles'!E95</f>
        <v>Voice Minutes</v>
      </c>
      <c r="F184" s="291" t="str">
        <f>'C. Masterfiles'!F95</f>
        <v>Yes</v>
      </c>
      <c r="G184" s="1"/>
      <c r="H184" s="393">
        <f t="shared" si="13"/>
        <v>0.3658332179526355</v>
      </c>
      <c r="I184" s="391">
        <f>IF(F184="no",0,IF(H184="","",H184*'10.Mark ups'!J$61))</f>
        <v>0.035356375028122985</v>
      </c>
      <c r="J184" s="381">
        <f t="shared" si="14"/>
        <v>0.4011895929807585</v>
      </c>
    </row>
    <row r="185" spans="2:7" ht="12.75" outlineLevel="1">
      <c r="B185" s="1"/>
      <c r="G185" s="1"/>
    </row>
    <row r="186" spans="2:7" ht="12.75">
      <c r="B186" s="1"/>
      <c r="G186" s="1"/>
    </row>
    <row r="187" spans="2:7" ht="12.75">
      <c r="B187" s="1"/>
      <c r="G187" s="1"/>
    </row>
    <row r="188" spans="2:7" ht="12.75">
      <c r="B188" s="1"/>
      <c r="G188" s="1"/>
    </row>
    <row r="189" spans="2:7" ht="12.75">
      <c r="B189" s="1"/>
      <c r="G189" s="1"/>
    </row>
    <row r="190" s="83" customFormat="1" ht="12.75"/>
    <row r="191" spans="2:7" ht="12.75">
      <c r="B191" s="1"/>
      <c r="G191" s="1"/>
    </row>
    <row r="192" spans="2:7" ht="12.75">
      <c r="B192" s="1"/>
      <c r="G192" s="1"/>
    </row>
    <row r="193" spans="2:7" ht="12.75" outlineLevel="1">
      <c r="B193" s="1"/>
      <c r="G193" s="1"/>
    </row>
    <row r="194" spans="2:7" ht="12.75" outlineLevel="1">
      <c r="B194" s="1"/>
      <c r="G194" s="1"/>
    </row>
    <row r="195" spans="2:7" ht="12.75" outlineLevel="1">
      <c r="B195" s="1"/>
      <c r="G195" s="1"/>
    </row>
    <row r="196" spans="2:7" ht="12.75" outlineLevel="1">
      <c r="B196" s="1"/>
      <c r="G196" s="1"/>
    </row>
    <row r="197" spans="2:7" ht="12.75" outlineLevel="1">
      <c r="B197" s="1"/>
      <c r="G197" s="1"/>
    </row>
    <row r="198" spans="2:7" ht="12.75" outlineLevel="1">
      <c r="B198" s="1"/>
      <c r="G198" s="1"/>
    </row>
    <row r="199" spans="2:7" ht="12.75" outlineLevel="1">
      <c r="B199" s="1"/>
      <c r="G199" s="1"/>
    </row>
    <row r="200" spans="2:7" ht="12.75" outlineLevel="1">
      <c r="B200" s="1"/>
      <c r="G200" s="1"/>
    </row>
    <row r="201" spans="2:7" ht="12.75" outlineLevel="1">
      <c r="B201" s="1"/>
      <c r="G201" s="1"/>
    </row>
    <row r="202" spans="2:7" ht="12.75" outlineLevel="1">
      <c r="B202" s="1"/>
      <c r="G202" s="1"/>
    </row>
    <row r="203" spans="2:7" ht="12.75" outlineLevel="1">
      <c r="B203" s="1"/>
      <c r="G203" s="1"/>
    </row>
    <row r="204" spans="2:7" ht="12.75" outlineLevel="1">
      <c r="B204" s="1"/>
      <c r="G204" s="1"/>
    </row>
    <row r="205" spans="2:7" ht="12.75" outlineLevel="1">
      <c r="B205" s="1"/>
      <c r="G205" s="1"/>
    </row>
    <row r="206" spans="2:7" ht="12.75" outlineLevel="1">
      <c r="B206" s="1"/>
      <c r="G206" s="1"/>
    </row>
    <row r="207" spans="2:7" ht="12.75" outlineLevel="1">
      <c r="B207" s="1"/>
      <c r="G207" s="1"/>
    </row>
    <row r="208" spans="2:7" ht="12.75" outlineLevel="1">
      <c r="B208" s="1"/>
      <c r="G208" s="1"/>
    </row>
    <row r="209" spans="2:7" ht="12.75" outlineLevel="1">
      <c r="B209" s="1"/>
      <c r="G209" s="1"/>
    </row>
    <row r="210" spans="2:7" ht="12.75" outlineLevel="1">
      <c r="B210" s="1"/>
      <c r="G210" s="1"/>
    </row>
    <row r="211" spans="2:7" ht="12.75" outlineLevel="1">
      <c r="B211" s="1"/>
      <c r="G211" s="1"/>
    </row>
    <row r="212" spans="2:7" ht="12.75" outlineLevel="1">
      <c r="B212" s="1"/>
      <c r="G212" s="1"/>
    </row>
    <row r="213" spans="2:7" ht="12.75" outlineLevel="1">
      <c r="B213" s="1"/>
      <c r="G213" s="1"/>
    </row>
    <row r="214" spans="2:7" ht="12.75" outlineLevel="1">
      <c r="B214" s="1"/>
      <c r="G214" s="1"/>
    </row>
    <row r="215" spans="2:7" ht="12.75" outlineLevel="1">
      <c r="B215" s="1"/>
      <c r="G215" s="1"/>
    </row>
    <row r="216" spans="2:7" ht="12.75" outlineLevel="1">
      <c r="B216" s="1"/>
      <c r="G216" s="1"/>
    </row>
    <row r="217" spans="2:7" ht="12.75" outlineLevel="1">
      <c r="B217" s="1"/>
      <c r="G217" s="1"/>
    </row>
    <row r="218" spans="2:7" ht="12.75" outlineLevel="1">
      <c r="B218" s="1"/>
      <c r="G218" s="1"/>
    </row>
    <row r="219" spans="2:7" ht="12.75" outlineLevel="1">
      <c r="B219" s="1"/>
      <c r="G219" s="1"/>
    </row>
    <row r="220" spans="2:7" ht="12.75" outlineLevel="1">
      <c r="B220" s="1"/>
      <c r="G220" s="1"/>
    </row>
    <row r="221" spans="2:7" ht="12.75" outlineLevel="1">
      <c r="B221" s="1"/>
      <c r="G221" s="1"/>
    </row>
    <row r="222" spans="2:7" ht="12.75" outlineLevel="1">
      <c r="B222" s="1"/>
      <c r="G222" s="1"/>
    </row>
    <row r="223" spans="2:7" ht="12.75">
      <c r="B223" s="1"/>
      <c r="G223" s="1"/>
    </row>
    <row r="224" spans="2:7" ht="12.75">
      <c r="B224" s="1"/>
      <c r="G224" s="1"/>
    </row>
    <row r="225" spans="2:7" ht="12.75">
      <c r="B225" s="1"/>
      <c r="G225" s="1"/>
    </row>
    <row r="226" spans="2:7" ht="12.75">
      <c r="B226" s="1"/>
      <c r="G226" s="1"/>
    </row>
    <row r="227" spans="2:7" ht="12.75">
      <c r="B227" s="1"/>
      <c r="G227" s="1"/>
    </row>
    <row r="228" spans="2:7" ht="12.75">
      <c r="B228" s="1"/>
      <c r="G228" s="1"/>
    </row>
    <row r="229" spans="2:7" ht="12.75">
      <c r="B229" s="1"/>
      <c r="G229" s="1"/>
    </row>
    <row r="230" spans="2:7" ht="12.75">
      <c r="B230" s="1"/>
      <c r="G230" s="1"/>
    </row>
    <row r="231" spans="2:7" ht="12.75">
      <c r="B231" s="1"/>
      <c r="G231" s="1"/>
    </row>
    <row r="232" spans="2:7" ht="12.75">
      <c r="B232" s="1"/>
      <c r="G232" s="1"/>
    </row>
    <row r="233" spans="2:7" ht="12.75">
      <c r="B233" s="1"/>
      <c r="G233" s="1"/>
    </row>
    <row r="234" spans="2:7" ht="12.75">
      <c r="B234" s="1"/>
      <c r="G234" s="1"/>
    </row>
    <row r="235" spans="2:7" ht="12.75">
      <c r="B235" s="1"/>
      <c r="G235" s="1"/>
    </row>
    <row r="236" spans="2:7" ht="12.75">
      <c r="B236" s="1"/>
      <c r="G236" s="1"/>
    </row>
    <row r="237" spans="2:7" ht="12.75">
      <c r="B237" s="1"/>
      <c r="G237" s="1"/>
    </row>
    <row r="238" spans="2:7" ht="12.75">
      <c r="B238" s="1"/>
      <c r="G238" s="1"/>
    </row>
    <row r="239" spans="2:7" ht="12.75">
      <c r="B239" s="1"/>
      <c r="G239" s="1"/>
    </row>
    <row r="240" spans="2:7" ht="12.75">
      <c r="B240" s="1"/>
      <c r="G240" s="1"/>
    </row>
    <row r="241" spans="2:7" ht="12.75">
      <c r="B241" s="1"/>
      <c r="G241" s="1"/>
    </row>
    <row r="242" spans="2:7" ht="12.75">
      <c r="B242" s="1"/>
      <c r="G242" s="1"/>
    </row>
    <row r="243" spans="2:7" ht="12.75">
      <c r="B243" s="1"/>
      <c r="G243" s="1"/>
    </row>
    <row r="244" spans="2:7" ht="12.75">
      <c r="B244" s="1"/>
      <c r="G244" s="1"/>
    </row>
    <row r="245" spans="2:7" ht="12.75">
      <c r="B245" s="1"/>
      <c r="G245" s="1"/>
    </row>
    <row r="246" spans="2:7" ht="12.75">
      <c r="B246" s="1"/>
      <c r="G246" s="1"/>
    </row>
    <row r="247" spans="2:7" ht="12.75">
      <c r="B247" s="1"/>
      <c r="G247" s="1"/>
    </row>
    <row r="248" spans="2:7" ht="12.75">
      <c r="B248" s="1"/>
      <c r="G248" s="1"/>
    </row>
    <row r="249" spans="2:7" ht="12.75">
      <c r="B249" s="1"/>
      <c r="G249" s="1"/>
    </row>
    <row r="250" spans="2:7" ht="12.75">
      <c r="B250" s="1"/>
      <c r="G250" s="1"/>
    </row>
    <row r="251" spans="2:7" ht="12.75">
      <c r="B251" s="1"/>
      <c r="G251" s="1"/>
    </row>
    <row r="252" spans="2:7" ht="12.75">
      <c r="B252" s="1"/>
      <c r="G252" s="1"/>
    </row>
    <row r="253" spans="2:7" ht="12.75">
      <c r="B253" s="1"/>
      <c r="G253" s="1"/>
    </row>
    <row r="254" spans="2:7" ht="12.75">
      <c r="B254" s="1"/>
      <c r="G254" s="1"/>
    </row>
    <row r="255" spans="2:7" ht="12.75">
      <c r="B255" s="1"/>
      <c r="G255" s="1"/>
    </row>
    <row r="256" spans="2:7" ht="12.75">
      <c r="B256" s="1"/>
      <c r="G256" s="1"/>
    </row>
    <row r="257" spans="2:7" ht="12.75">
      <c r="B257" s="1"/>
      <c r="G257" s="1"/>
    </row>
    <row r="258" spans="2:7" ht="12.75">
      <c r="B258" s="1"/>
      <c r="G258" s="1"/>
    </row>
    <row r="259" spans="2:7" ht="12.75">
      <c r="B259" s="1"/>
      <c r="G259" s="1"/>
    </row>
    <row r="260" spans="2:7" ht="12.75">
      <c r="B260" s="1"/>
      <c r="G260" s="1"/>
    </row>
    <row r="261" spans="2:7" ht="12.75">
      <c r="B261" s="1"/>
      <c r="G261" s="1"/>
    </row>
    <row r="262" spans="2:7" ht="12.75">
      <c r="B262" s="1"/>
      <c r="G262" s="1"/>
    </row>
    <row r="263" spans="2:7" ht="12.75">
      <c r="B263" s="1"/>
      <c r="G263" s="1"/>
    </row>
    <row r="264" spans="2:7" ht="12.75">
      <c r="B264" s="1"/>
      <c r="G264" s="1"/>
    </row>
    <row r="265" spans="2:7" ht="12.75">
      <c r="B265" s="1"/>
      <c r="G265" s="1"/>
    </row>
    <row r="266" spans="2:7" ht="12.75">
      <c r="B266" s="1"/>
      <c r="G266" s="1"/>
    </row>
    <row r="267" spans="2:7" ht="12.75">
      <c r="B267" s="1"/>
      <c r="G267" s="1"/>
    </row>
    <row r="268" spans="2:7" ht="12.75">
      <c r="B268" s="1"/>
      <c r="G268" s="1"/>
    </row>
    <row r="269" spans="2:7" ht="12.75">
      <c r="B269" s="1"/>
      <c r="G269" s="1"/>
    </row>
    <row r="270" spans="2:7" ht="12.75">
      <c r="B270" s="1"/>
      <c r="G270" s="1"/>
    </row>
    <row r="271" spans="2:7" ht="12.75">
      <c r="B271" s="1"/>
      <c r="G271" s="1"/>
    </row>
    <row r="272" spans="2:7" ht="12.75">
      <c r="B272" s="1"/>
      <c r="G272" s="1"/>
    </row>
    <row r="273" spans="2:7" ht="12.75">
      <c r="B273" s="1"/>
      <c r="G273" s="1"/>
    </row>
    <row r="274" spans="2:7" ht="12.75">
      <c r="B274" s="1"/>
      <c r="G274" s="1"/>
    </row>
    <row r="275" spans="2:7" ht="12.75">
      <c r="B275" s="1"/>
      <c r="G275" s="1"/>
    </row>
    <row r="276" spans="2:7" ht="12.75">
      <c r="B276" s="1"/>
      <c r="G276" s="1"/>
    </row>
    <row r="277" spans="2:7" ht="12.75">
      <c r="B277" s="1"/>
      <c r="G277" s="1"/>
    </row>
    <row r="278" spans="2:7" ht="12.75">
      <c r="B278" s="1"/>
      <c r="G278" s="1"/>
    </row>
    <row r="279" spans="2:7" ht="12.75">
      <c r="B279" s="1"/>
      <c r="G279" s="1"/>
    </row>
    <row r="280" spans="2:7" ht="12.75">
      <c r="B280" s="1"/>
      <c r="G280" s="1"/>
    </row>
    <row r="281" spans="2:7" ht="12.75">
      <c r="B281" s="1"/>
      <c r="G281" s="1"/>
    </row>
    <row r="282" spans="2:7" ht="12.75">
      <c r="B282" s="1"/>
      <c r="G282" s="1"/>
    </row>
    <row r="283" spans="2:7" ht="12.75">
      <c r="B283" s="1"/>
      <c r="G283" s="1"/>
    </row>
  </sheetData>
  <sheetProtection/>
  <mergeCells count="15">
    <mergeCell ref="G13:I13"/>
    <mergeCell ref="K13:M13"/>
    <mergeCell ref="G30:I30"/>
    <mergeCell ref="G47:I47"/>
    <mergeCell ref="K30:M30"/>
    <mergeCell ref="K47:M47"/>
    <mergeCell ref="K64:M64"/>
    <mergeCell ref="K81:M81"/>
    <mergeCell ref="G81:I81"/>
    <mergeCell ref="G64:I64"/>
    <mergeCell ref="H154:J154"/>
    <mergeCell ref="H171:J171"/>
    <mergeCell ref="H102:J102"/>
    <mergeCell ref="H119:J119"/>
    <mergeCell ref="H136:J136"/>
  </mergeCells>
  <conditionalFormatting sqref="C8">
    <cfRule type="cellIs" priority="1" dxfId="0" operator="equal" stopIfTrue="1">
      <formula>"NOT OK"</formula>
    </cfRule>
  </conditionalFormatting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61"/>
  <sheetViews>
    <sheetView zoomScale="130" zoomScaleNormal="130" workbookViewId="0" topLeftCell="A1">
      <selection activeCell="B5" sqref="B5:N6"/>
    </sheetView>
  </sheetViews>
  <sheetFormatPr defaultColWidth="9.140625" defaultRowHeight="12.75"/>
  <cols>
    <col min="1" max="1" width="3.57421875" style="3" customWidth="1"/>
    <col min="2" max="2" width="14.8515625" style="3" customWidth="1"/>
    <col min="3" max="7" width="9.140625" style="3" customWidth="1"/>
    <col min="8" max="8" width="9.00390625" style="3" customWidth="1"/>
    <col min="9" max="9" width="0.71875" style="3" customWidth="1"/>
    <col min="10" max="16384" width="9.140625" style="3" customWidth="1"/>
  </cols>
  <sheetData>
    <row r="1" spans="2:8" ht="26.25">
      <c r="B1" s="590" t="s">
        <v>244</v>
      </c>
      <c r="C1" s="590"/>
      <c r="D1" s="590"/>
      <c r="E1" s="590"/>
      <c r="F1" s="590"/>
      <c r="G1" s="590"/>
      <c r="H1" s="590"/>
    </row>
    <row r="2" spans="2:8" ht="11.25" customHeight="1">
      <c r="B2" s="590"/>
      <c r="C2" s="590"/>
      <c r="D2" s="590"/>
      <c r="E2" s="590"/>
      <c r="F2" s="590"/>
      <c r="G2" s="590"/>
      <c r="H2" s="590"/>
    </row>
    <row r="3" spans="2:14" ht="12.75" customHeight="1" thickBot="1">
      <c r="B3" s="591" t="s">
        <v>245</v>
      </c>
      <c r="C3" s="591"/>
      <c r="D3" s="591"/>
      <c r="E3" s="591"/>
      <c r="F3" s="591"/>
      <c r="G3" s="591"/>
      <c r="H3" s="591"/>
      <c r="I3" s="592"/>
      <c r="J3" s="592"/>
      <c r="K3" s="592"/>
      <c r="L3" s="592"/>
      <c r="M3" s="592"/>
      <c r="N3" s="592"/>
    </row>
    <row r="4" spans="2:8" ht="9" customHeight="1">
      <c r="B4" s="593"/>
      <c r="C4" s="593"/>
      <c r="D4" s="593"/>
      <c r="E4" s="593"/>
      <c r="F4" s="593"/>
      <c r="G4" s="593"/>
      <c r="H4" s="593"/>
    </row>
    <row r="5" spans="2:14" ht="18.75" customHeight="1">
      <c r="B5" s="654" t="s">
        <v>246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</row>
    <row r="6" spans="2:14" ht="12.75" customHeight="1"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</row>
    <row r="7" spans="2:8" ht="12.75" customHeight="1">
      <c r="B7" s="593"/>
      <c r="C7" s="593"/>
      <c r="D7" s="593"/>
      <c r="E7" s="593"/>
      <c r="F7" s="593"/>
      <c r="G7" s="593"/>
      <c r="H7" s="593"/>
    </row>
    <row r="8" spans="2:15" ht="12.75" customHeight="1">
      <c r="B8" s="604"/>
      <c r="C8" s="604"/>
      <c r="D8" s="604"/>
      <c r="E8" s="604"/>
      <c r="F8" s="604"/>
      <c r="G8" s="604"/>
      <c r="H8" s="604"/>
      <c r="I8" s="596"/>
      <c r="J8" s="596"/>
      <c r="K8" s="596"/>
      <c r="L8" s="596"/>
      <c r="M8" s="596"/>
      <c r="N8" s="596"/>
      <c r="O8" s="596"/>
    </row>
    <row r="9" spans="2:15" ht="12.75" customHeight="1" thickBot="1">
      <c r="B9" s="594" t="s">
        <v>303</v>
      </c>
      <c r="C9" s="594"/>
      <c r="D9" s="594"/>
      <c r="E9" s="594"/>
      <c r="F9" s="594"/>
      <c r="G9" s="594"/>
      <c r="H9" s="594"/>
      <c r="I9" s="595"/>
      <c r="J9" s="595"/>
      <c r="K9" s="595"/>
      <c r="L9" s="595"/>
      <c r="M9" s="595"/>
      <c r="N9" s="595"/>
      <c r="O9" s="596"/>
    </row>
    <row r="11" spans="1:16" ht="12.75">
      <c r="A11" s="605" t="s">
        <v>632</v>
      </c>
      <c r="B11" s="606" t="s">
        <v>304</v>
      </c>
      <c r="C11" s="606"/>
      <c r="D11" s="606"/>
      <c r="E11" s="606"/>
      <c r="F11" s="606"/>
      <c r="G11" s="606"/>
      <c r="H11" s="606"/>
      <c r="J11" s="653" t="s">
        <v>305</v>
      </c>
      <c r="K11" s="653"/>
      <c r="L11" s="653"/>
      <c r="M11" s="653"/>
      <c r="N11" s="653"/>
      <c r="O11" s="653"/>
      <c r="P11" s="653"/>
    </row>
    <row r="12" spans="1:16" ht="3.75" customHeight="1">
      <c r="A12" s="607"/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</row>
    <row r="13" spans="2:11" ht="12.75" customHeight="1">
      <c r="B13" s="608" t="s">
        <v>306</v>
      </c>
      <c r="C13" s="609"/>
      <c r="D13" s="609"/>
      <c r="E13" s="609"/>
      <c r="F13" s="609"/>
      <c r="G13" s="609"/>
      <c r="H13" s="609"/>
      <c r="I13" s="610"/>
      <c r="J13" s="611" t="s">
        <v>307</v>
      </c>
      <c r="K13" s="611"/>
    </row>
    <row r="14" spans="2:11" ht="12.75" customHeight="1">
      <c r="B14" s="608" t="s">
        <v>308</v>
      </c>
      <c r="C14" s="608"/>
      <c r="D14" s="608"/>
      <c r="E14" s="608"/>
      <c r="F14" s="608"/>
      <c r="G14" s="608"/>
      <c r="H14" s="608"/>
      <c r="I14" s="610"/>
      <c r="J14" s="611" t="s">
        <v>384</v>
      </c>
      <c r="K14" s="611"/>
    </row>
    <row r="15" spans="2:11" ht="12.75" customHeight="1">
      <c r="B15" s="608" t="s">
        <v>385</v>
      </c>
      <c r="C15" s="609"/>
      <c r="D15" s="609"/>
      <c r="E15" s="609"/>
      <c r="F15" s="609"/>
      <c r="G15" s="609"/>
      <c r="H15" s="609"/>
      <c r="I15" s="610"/>
      <c r="J15" s="611" t="s">
        <v>386</v>
      </c>
      <c r="K15" s="611"/>
    </row>
    <row r="16" spans="2:11" ht="12.75" customHeight="1">
      <c r="B16" s="612" t="s">
        <v>153</v>
      </c>
      <c r="C16" s="613"/>
      <c r="D16" s="613"/>
      <c r="E16" s="613"/>
      <c r="F16" s="613"/>
      <c r="G16" s="613"/>
      <c r="H16" s="613"/>
      <c r="I16" s="610"/>
      <c r="J16" s="611" t="s">
        <v>387</v>
      </c>
      <c r="K16" s="611"/>
    </row>
    <row r="17" spans="2:11" ht="12.75" customHeight="1">
      <c r="B17" s="612" t="s">
        <v>154</v>
      </c>
      <c r="C17" s="613"/>
      <c r="D17" s="613"/>
      <c r="E17" s="613"/>
      <c r="F17" s="613"/>
      <c r="G17" s="613"/>
      <c r="H17" s="613"/>
      <c r="I17" s="610"/>
      <c r="J17" s="611" t="s">
        <v>388</v>
      </c>
      <c r="K17" s="611"/>
    </row>
    <row r="18" spans="1:9" ht="12.75">
      <c r="A18" s="605" t="s">
        <v>389</v>
      </c>
      <c r="I18" s="607"/>
    </row>
    <row r="19" spans="1:16" ht="3.75" customHeight="1">
      <c r="A19" s="607"/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</row>
    <row r="20" spans="2:11" ht="12.75" customHeight="1">
      <c r="B20" s="608" t="s">
        <v>29</v>
      </c>
      <c r="C20" s="608"/>
      <c r="D20" s="608"/>
      <c r="E20" s="608"/>
      <c r="F20" s="608"/>
      <c r="G20" s="608"/>
      <c r="H20" s="608"/>
      <c r="I20" s="610"/>
      <c r="J20" s="611" t="s">
        <v>390</v>
      </c>
      <c r="K20" s="611"/>
    </row>
    <row r="21" spans="2:11" ht="12.75" customHeight="1">
      <c r="B21" s="608" t="s">
        <v>30</v>
      </c>
      <c r="C21" s="608"/>
      <c r="D21" s="608"/>
      <c r="E21" s="608"/>
      <c r="F21" s="608"/>
      <c r="G21" s="608"/>
      <c r="H21" s="608"/>
      <c r="I21" s="610"/>
      <c r="J21" s="611" t="s">
        <v>391</v>
      </c>
      <c r="K21" s="611"/>
    </row>
    <row r="22" spans="2:11" ht="12.75" customHeight="1">
      <c r="B22" s="608" t="s">
        <v>8</v>
      </c>
      <c r="C22" s="608"/>
      <c r="D22" s="608"/>
      <c r="E22" s="608"/>
      <c r="F22" s="608"/>
      <c r="G22" s="608"/>
      <c r="H22" s="608"/>
      <c r="I22" s="610"/>
      <c r="J22" s="611" t="s">
        <v>392</v>
      </c>
      <c r="K22" s="611"/>
    </row>
    <row r="23" spans="2:11" ht="12.75" customHeight="1">
      <c r="B23" s="608" t="s">
        <v>31</v>
      </c>
      <c r="C23" s="608"/>
      <c r="D23" s="608"/>
      <c r="E23" s="608"/>
      <c r="F23" s="608"/>
      <c r="G23" s="608"/>
      <c r="H23" s="608"/>
      <c r="I23" s="610"/>
      <c r="J23" s="4" t="s">
        <v>325</v>
      </c>
      <c r="K23" s="611"/>
    </row>
    <row r="24" spans="2:11" ht="12.75" customHeight="1">
      <c r="B24" s="608" t="s">
        <v>32</v>
      </c>
      <c r="C24" s="608"/>
      <c r="D24" s="608"/>
      <c r="E24" s="608"/>
      <c r="F24" s="608"/>
      <c r="G24" s="608"/>
      <c r="H24" s="608"/>
      <c r="I24" s="610"/>
      <c r="J24" s="611" t="s">
        <v>393</v>
      </c>
      <c r="K24" s="611"/>
    </row>
    <row r="25" spans="2:11" ht="12.75" customHeight="1">
      <c r="B25" s="611" t="s">
        <v>603</v>
      </c>
      <c r="C25" s="611"/>
      <c r="D25" s="611"/>
      <c r="E25" s="611"/>
      <c r="F25" s="611"/>
      <c r="G25" s="611"/>
      <c r="H25" s="611"/>
      <c r="I25" s="610"/>
      <c r="J25" s="4" t="s">
        <v>326</v>
      </c>
      <c r="K25" s="611"/>
    </row>
    <row r="26" spans="2:11" ht="12.75" customHeight="1">
      <c r="B26" s="611" t="s">
        <v>394</v>
      </c>
      <c r="C26" s="611"/>
      <c r="D26" s="611"/>
      <c r="E26" s="611"/>
      <c r="F26" s="611"/>
      <c r="G26" s="611"/>
      <c r="H26" s="611"/>
      <c r="I26" s="610"/>
      <c r="J26" s="611" t="s">
        <v>395</v>
      </c>
      <c r="K26" s="611"/>
    </row>
    <row r="27" spans="2:11" ht="12.75" customHeight="1">
      <c r="B27" s="611" t="s">
        <v>396</v>
      </c>
      <c r="C27" s="611"/>
      <c r="D27" s="611"/>
      <c r="E27" s="611"/>
      <c r="F27" s="611"/>
      <c r="G27" s="611"/>
      <c r="H27" s="611"/>
      <c r="I27" s="610"/>
      <c r="J27" s="611" t="s">
        <v>397</v>
      </c>
      <c r="K27" s="611"/>
    </row>
    <row r="28" spans="2:11" ht="12.75" customHeight="1">
      <c r="B28" s="608" t="s">
        <v>198</v>
      </c>
      <c r="C28" s="608"/>
      <c r="D28" s="608"/>
      <c r="E28" s="608"/>
      <c r="F28" s="608"/>
      <c r="G28" s="608"/>
      <c r="H28" s="608"/>
      <c r="I28" s="610"/>
      <c r="J28" s="611" t="s">
        <v>398</v>
      </c>
      <c r="K28" s="611"/>
    </row>
    <row r="29" spans="2:11" ht="12.75" customHeight="1">
      <c r="B29" s="614" t="s">
        <v>119</v>
      </c>
      <c r="C29" s="615"/>
      <c r="D29" s="615"/>
      <c r="E29" s="615"/>
      <c r="F29" s="615"/>
      <c r="G29" s="615"/>
      <c r="H29" s="615"/>
      <c r="I29" s="610"/>
      <c r="J29" s="611" t="s">
        <v>399</v>
      </c>
      <c r="K29" s="611"/>
    </row>
    <row r="30" spans="2:11" ht="12.75" customHeight="1">
      <c r="B30" s="608" t="s">
        <v>199</v>
      </c>
      <c r="C30" s="608"/>
      <c r="D30" s="608"/>
      <c r="E30" s="608"/>
      <c r="F30" s="608"/>
      <c r="G30" s="608"/>
      <c r="H30" s="608"/>
      <c r="I30" s="610"/>
      <c r="J30" s="611" t="s">
        <v>400</v>
      </c>
      <c r="K30" s="611"/>
    </row>
    <row r="31" spans="2:11" ht="12.75" customHeight="1">
      <c r="B31" s="611" t="s">
        <v>54</v>
      </c>
      <c r="C31" s="611"/>
      <c r="D31" s="611"/>
      <c r="E31" s="611"/>
      <c r="F31" s="611"/>
      <c r="G31" s="611"/>
      <c r="H31" s="611"/>
      <c r="I31" s="610"/>
      <c r="J31" s="4" t="s">
        <v>327</v>
      </c>
      <c r="K31" s="611"/>
    </row>
    <row r="32" spans="1:9" ht="12.75">
      <c r="A32" s="605" t="s">
        <v>401</v>
      </c>
      <c r="I32" s="607"/>
    </row>
    <row r="33" spans="1:16" ht="3.75" customHeight="1">
      <c r="A33" s="607"/>
      <c r="B33" s="607"/>
      <c r="C33" s="607"/>
      <c r="D33" s="607"/>
      <c r="E33" s="607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</row>
    <row r="34" spans="2:11" ht="12.75" customHeight="1">
      <c r="B34" s="612" t="s">
        <v>7</v>
      </c>
      <c r="C34" s="612"/>
      <c r="D34" s="612"/>
      <c r="E34" s="612"/>
      <c r="F34" s="612"/>
      <c r="G34" s="612"/>
      <c r="H34" s="612"/>
      <c r="I34" s="610"/>
      <c r="J34" s="611" t="s">
        <v>402</v>
      </c>
      <c r="K34" s="611"/>
    </row>
    <row r="35" spans="2:11" ht="12.75" customHeight="1">
      <c r="B35" s="608" t="s">
        <v>844</v>
      </c>
      <c r="C35" s="608"/>
      <c r="D35" s="608"/>
      <c r="E35" s="608"/>
      <c r="F35" s="608"/>
      <c r="G35" s="608"/>
      <c r="H35" s="608"/>
      <c r="I35" s="610"/>
      <c r="J35" s="611" t="s">
        <v>403</v>
      </c>
      <c r="K35" s="611"/>
    </row>
    <row r="36" spans="2:11" ht="12.75" customHeight="1">
      <c r="B36" s="616" t="s">
        <v>936</v>
      </c>
      <c r="C36" s="616"/>
      <c r="D36" s="616"/>
      <c r="E36" s="616"/>
      <c r="F36" s="616"/>
      <c r="G36" s="616"/>
      <c r="H36" s="616"/>
      <c r="I36" s="610"/>
      <c r="J36" s="611" t="s">
        <v>404</v>
      </c>
      <c r="K36" s="611"/>
    </row>
    <row r="37" spans="2:11" ht="12.75" customHeight="1">
      <c r="B37" s="616" t="s">
        <v>188</v>
      </c>
      <c r="C37" s="616"/>
      <c r="D37" s="616"/>
      <c r="E37" s="616"/>
      <c r="F37" s="616"/>
      <c r="G37" s="616"/>
      <c r="H37" s="616"/>
      <c r="I37" s="610"/>
      <c r="J37" s="4" t="s">
        <v>328</v>
      </c>
      <c r="K37" s="611"/>
    </row>
    <row r="38" spans="2:11" ht="12.75" customHeight="1">
      <c r="B38" s="611" t="s">
        <v>405</v>
      </c>
      <c r="C38" s="611"/>
      <c r="D38" s="611"/>
      <c r="E38" s="611"/>
      <c r="F38" s="611"/>
      <c r="G38" s="611"/>
      <c r="H38" s="611"/>
      <c r="I38" s="610"/>
      <c r="J38" s="4" t="s">
        <v>329</v>
      </c>
      <c r="K38" s="611"/>
    </row>
    <row r="39" spans="2:11" ht="12.75" customHeight="1">
      <c r="B39" s="617" t="s">
        <v>600</v>
      </c>
      <c r="C39" s="611"/>
      <c r="D39" s="611"/>
      <c r="E39" s="611"/>
      <c r="F39" s="611"/>
      <c r="G39" s="611"/>
      <c r="H39" s="611"/>
      <c r="I39" s="610"/>
      <c r="J39" s="4" t="s">
        <v>330</v>
      </c>
      <c r="K39" s="611"/>
    </row>
    <row r="40" spans="2:11" ht="12.75" customHeight="1">
      <c r="B40" s="618" t="s">
        <v>948</v>
      </c>
      <c r="C40" s="608"/>
      <c r="D40" s="608"/>
      <c r="E40" s="608"/>
      <c r="F40" s="608"/>
      <c r="G40" s="608"/>
      <c r="H40" s="608"/>
      <c r="I40" s="610"/>
      <c r="J40" s="4" t="s">
        <v>331</v>
      </c>
      <c r="K40" s="611"/>
    </row>
    <row r="41" spans="2:11" ht="12.75" customHeight="1">
      <c r="B41" s="618" t="s">
        <v>803</v>
      </c>
      <c r="C41" s="608"/>
      <c r="D41" s="608"/>
      <c r="E41" s="608"/>
      <c r="F41" s="608"/>
      <c r="G41" s="608"/>
      <c r="H41" s="608"/>
      <c r="I41" s="610"/>
      <c r="J41" s="4" t="s">
        <v>329</v>
      </c>
      <c r="K41" s="611"/>
    </row>
    <row r="42" spans="2:11" ht="12.75" customHeight="1">
      <c r="B42" s="619" t="s">
        <v>131</v>
      </c>
      <c r="C42" s="612"/>
      <c r="D42" s="612"/>
      <c r="E42" s="612"/>
      <c r="F42" s="612"/>
      <c r="G42" s="612"/>
      <c r="H42" s="612"/>
      <c r="I42" s="610"/>
      <c r="J42" s="4" t="s">
        <v>332</v>
      </c>
      <c r="K42" s="611"/>
    </row>
    <row r="43" spans="2:11" ht="12.75" customHeight="1">
      <c r="B43" s="619" t="s">
        <v>130</v>
      </c>
      <c r="C43" s="612"/>
      <c r="D43" s="612"/>
      <c r="E43" s="612"/>
      <c r="F43" s="612"/>
      <c r="G43" s="612"/>
      <c r="H43" s="612"/>
      <c r="I43" s="610"/>
      <c r="J43" s="4" t="s">
        <v>333</v>
      </c>
      <c r="K43" s="611"/>
    </row>
    <row r="44" spans="1:9" ht="12.75">
      <c r="A44" s="605" t="s">
        <v>406</v>
      </c>
      <c r="I44" s="607"/>
    </row>
    <row r="45" spans="1:16" ht="3.75" customHeight="1">
      <c r="A45" s="607"/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</row>
    <row r="46" spans="2:11" ht="12.75" customHeight="1">
      <c r="B46" s="619" t="s">
        <v>128</v>
      </c>
      <c r="C46" s="612"/>
      <c r="D46" s="612"/>
      <c r="E46" s="612"/>
      <c r="F46" s="612"/>
      <c r="G46" s="612"/>
      <c r="H46" s="612"/>
      <c r="I46" s="610"/>
      <c r="J46" s="4" t="s">
        <v>334</v>
      </c>
      <c r="K46" s="611"/>
    </row>
    <row r="47" spans="2:11" ht="12.75" customHeight="1">
      <c r="B47" s="617" t="s">
        <v>596</v>
      </c>
      <c r="C47" s="611"/>
      <c r="D47" s="611"/>
      <c r="E47" s="611"/>
      <c r="F47" s="611"/>
      <c r="G47" s="611"/>
      <c r="H47" s="611"/>
      <c r="I47" s="610"/>
      <c r="J47" s="611" t="s">
        <v>407</v>
      </c>
      <c r="K47" s="611"/>
    </row>
    <row r="48" spans="2:11" ht="12.75" customHeight="1">
      <c r="B48" s="617" t="s">
        <v>594</v>
      </c>
      <c r="C48" s="611"/>
      <c r="D48" s="611"/>
      <c r="E48" s="611"/>
      <c r="F48" s="611"/>
      <c r="G48" s="611"/>
      <c r="H48" s="611"/>
      <c r="I48" s="610"/>
      <c r="J48" s="611" t="s">
        <v>408</v>
      </c>
      <c r="K48" s="611"/>
    </row>
    <row r="49" spans="2:11" ht="12.75" customHeight="1">
      <c r="B49" s="620" t="s">
        <v>93</v>
      </c>
      <c r="C49" s="621"/>
      <c r="D49" s="621"/>
      <c r="E49" s="621"/>
      <c r="F49" s="621"/>
      <c r="G49" s="621"/>
      <c r="H49" s="621"/>
      <c r="I49" s="610"/>
      <c r="J49" s="4" t="s">
        <v>335</v>
      </c>
      <c r="K49" s="611"/>
    </row>
    <row r="50" spans="2:11" ht="12.75" customHeight="1">
      <c r="B50" s="620" t="s">
        <v>94</v>
      </c>
      <c r="C50" s="621"/>
      <c r="D50" s="621"/>
      <c r="E50" s="621"/>
      <c r="F50" s="621"/>
      <c r="G50" s="621"/>
      <c r="H50" s="621"/>
      <c r="I50" s="610"/>
      <c r="J50" s="611" t="s">
        <v>409</v>
      </c>
      <c r="K50" s="611"/>
    </row>
    <row r="51" spans="2:11" ht="12.75" customHeight="1">
      <c r="B51" s="617" t="s">
        <v>753</v>
      </c>
      <c r="C51" s="611"/>
      <c r="D51" s="611"/>
      <c r="E51" s="611"/>
      <c r="F51" s="611"/>
      <c r="G51" s="611"/>
      <c r="H51" s="611"/>
      <c r="I51" s="610"/>
      <c r="J51" s="611" t="s">
        <v>410</v>
      </c>
      <c r="K51" s="611"/>
    </row>
    <row r="52" spans="2:11" ht="12.75" customHeight="1">
      <c r="B52" s="619" t="s">
        <v>411</v>
      </c>
      <c r="C52" s="613"/>
      <c r="D52" s="613"/>
      <c r="E52" s="613"/>
      <c r="F52" s="613"/>
      <c r="G52" s="613"/>
      <c r="H52" s="613"/>
      <c r="I52" s="610"/>
      <c r="J52" s="4" t="s">
        <v>336</v>
      </c>
      <c r="K52" s="611"/>
    </row>
    <row r="53" spans="2:11" ht="12.75" customHeight="1">
      <c r="B53" s="618" t="s">
        <v>9</v>
      </c>
      <c r="C53" s="608"/>
      <c r="D53" s="608"/>
      <c r="E53" s="608"/>
      <c r="F53" s="608"/>
      <c r="G53" s="608"/>
      <c r="H53" s="608"/>
      <c r="I53" s="610"/>
      <c r="J53" s="4" t="s">
        <v>336</v>
      </c>
      <c r="K53" s="611"/>
    </row>
    <row r="54" spans="2:11" ht="12.75" customHeight="1">
      <c r="B54" s="618" t="s">
        <v>10</v>
      </c>
      <c r="C54" s="608"/>
      <c r="D54" s="608"/>
      <c r="E54" s="608"/>
      <c r="F54" s="608"/>
      <c r="G54" s="608"/>
      <c r="H54" s="608"/>
      <c r="I54" s="610"/>
      <c r="J54" s="4" t="s">
        <v>337</v>
      </c>
      <c r="K54" s="611"/>
    </row>
    <row r="55" spans="2:11" ht="12.75" customHeight="1">
      <c r="B55" s="618" t="s">
        <v>705</v>
      </c>
      <c r="C55" s="608"/>
      <c r="D55" s="608"/>
      <c r="E55" s="608"/>
      <c r="F55" s="608"/>
      <c r="G55" s="608"/>
      <c r="H55" s="608"/>
      <c r="I55" s="610"/>
      <c r="J55" s="611" t="s">
        <v>412</v>
      </c>
      <c r="K55" s="611"/>
    </row>
    <row r="56" spans="2:11" ht="12.75" customHeight="1">
      <c r="B56" s="617" t="s">
        <v>825</v>
      </c>
      <c r="C56" s="611"/>
      <c r="D56" s="611"/>
      <c r="E56" s="611"/>
      <c r="F56" s="611"/>
      <c r="G56" s="611"/>
      <c r="H56" s="611"/>
      <c r="I56" s="610"/>
      <c r="J56" s="4" t="s">
        <v>338</v>
      </c>
      <c r="K56" s="611"/>
    </row>
    <row r="57" spans="2:11" ht="12.75" customHeight="1">
      <c r="B57" s="617" t="s">
        <v>824</v>
      </c>
      <c r="C57" s="611"/>
      <c r="D57" s="611"/>
      <c r="E57" s="611"/>
      <c r="F57" s="611"/>
      <c r="G57" s="611"/>
      <c r="H57" s="611"/>
      <c r="I57" s="610"/>
      <c r="J57" s="611" t="s">
        <v>413</v>
      </c>
      <c r="K57" s="611"/>
    </row>
    <row r="58" spans="2:11" ht="12.75" customHeight="1">
      <c r="B58" s="619" t="s">
        <v>125</v>
      </c>
      <c r="C58" s="612"/>
      <c r="D58" s="612"/>
      <c r="E58" s="612"/>
      <c r="F58" s="612"/>
      <c r="G58" s="612"/>
      <c r="H58" s="612"/>
      <c r="I58" s="610"/>
      <c r="J58" s="4" t="s">
        <v>339</v>
      </c>
      <c r="K58" s="611"/>
    </row>
    <row r="59" spans="2:11" ht="12.75" customHeight="1">
      <c r="B59" s="619" t="s">
        <v>3</v>
      </c>
      <c r="C59" s="612"/>
      <c r="D59" s="612"/>
      <c r="E59" s="612"/>
      <c r="F59" s="612"/>
      <c r="G59" s="612"/>
      <c r="H59" s="612"/>
      <c r="I59" s="610"/>
      <c r="J59" s="611" t="s">
        <v>414</v>
      </c>
      <c r="K59" s="611"/>
    </row>
    <row r="60" spans="2:11" ht="12.75" customHeight="1">
      <c r="B60" s="622" t="s">
        <v>216</v>
      </c>
      <c r="C60" s="622"/>
      <c r="D60" s="622"/>
      <c r="E60" s="622"/>
      <c r="F60" s="622"/>
      <c r="G60" s="622"/>
      <c r="H60" s="622"/>
      <c r="I60" s="610"/>
      <c r="J60" s="611" t="s">
        <v>415</v>
      </c>
      <c r="K60" s="611"/>
    </row>
    <row r="61" spans="2:11" ht="12.75" customHeight="1">
      <c r="B61" s="622" t="s">
        <v>217</v>
      </c>
      <c r="C61" s="622"/>
      <c r="D61" s="622"/>
      <c r="E61" s="622"/>
      <c r="F61" s="622"/>
      <c r="G61" s="622"/>
      <c r="H61" s="622"/>
      <c r="I61" s="610"/>
      <c r="J61" s="611" t="s">
        <v>416</v>
      </c>
      <c r="K61" s="611"/>
    </row>
    <row r="62" spans="2:11" ht="12.75" customHeight="1">
      <c r="B62" s="612" t="s">
        <v>129</v>
      </c>
      <c r="C62" s="612"/>
      <c r="D62" s="612"/>
      <c r="E62" s="612"/>
      <c r="F62" s="612"/>
      <c r="G62" s="612"/>
      <c r="H62" s="612"/>
      <c r="I62" s="610"/>
      <c r="J62" s="611" t="s">
        <v>417</v>
      </c>
      <c r="K62" s="611"/>
    </row>
    <row r="63" spans="2:11" ht="12.75" customHeight="1">
      <c r="B63" s="612" t="s">
        <v>808</v>
      </c>
      <c r="C63" s="612"/>
      <c r="D63" s="612"/>
      <c r="E63" s="612"/>
      <c r="F63" s="612"/>
      <c r="G63" s="612"/>
      <c r="H63" s="612"/>
      <c r="I63" s="610"/>
      <c r="J63" s="4" t="s">
        <v>340</v>
      </c>
      <c r="K63" s="611"/>
    </row>
    <row r="64" spans="2:11" ht="12.75" customHeight="1">
      <c r="B64" s="611" t="s">
        <v>418</v>
      </c>
      <c r="C64" s="611"/>
      <c r="D64" s="611"/>
      <c r="E64" s="611"/>
      <c r="F64" s="611"/>
      <c r="G64" s="611"/>
      <c r="H64" s="611"/>
      <c r="I64" s="610"/>
      <c r="J64" s="611" t="s">
        <v>419</v>
      </c>
      <c r="K64" s="611"/>
    </row>
    <row r="65" spans="2:11" ht="12.75" customHeight="1">
      <c r="B65" s="623" t="s">
        <v>13</v>
      </c>
      <c r="C65" s="622"/>
      <c r="D65" s="622"/>
      <c r="E65" s="622"/>
      <c r="F65" s="622"/>
      <c r="G65" s="622"/>
      <c r="H65" s="622"/>
      <c r="I65" s="610"/>
      <c r="J65" s="4" t="s">
        <v>341</v>
      </c>
      <c r="K65" s="611"/>
    </row>
    <row r="66" spans="1:9" ht="12.75">
      <c r="A66" s="605" t="s">
        <v>420</v>
      </c>
      <c r="I66" s="607"/>
    </row>
    <row r="67" spans="1:16" ht="3.75" customHeight="1">
      <c r="A67" s="607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</row>
    <row r="68" spans="2:11" ht="12.75" customHeight="1">
      <c r="B68" s="617" t="s">
        <v>421</v>
      </c>
      <c r="C68" s="611"/>
      <c r="D68" s="611"/>
      <c r="E68" s="611"/>
      <c r="F68" s="611"/>
      <c r="G68" s="611"/>
      <c r="H68" s="611"/>
      <c r="I68" s="610"/>
      <c r="J68" s="611" t="s">
        <v>422</v>
      </c>
      <c r="K68" s="611"/>
    </row>
    <row r="69" spans="2:11" ht="12.75" customHeight="1">
      <c r="B69" s="624" t="s">
        <v>242</v>
      </c>
      <c r="C69" s="625"/>
      <c r="D69" s="625"/>
      <c r="E69" s="625"/>
      <c r="F69" s="625"/>
      <c r="G69" s="625"/>
      <c r="H69" s="625"/>
      <c r="I69" s="610"/>
      <c r="J69" s="611" t="s">
        <v>423</v>
      </c>
      <c r="K69" s="611"/>
    </row>
    <row r="70" spans="2:11" ht="12.75" customHeight="1">
      <c r="B70" s="626" t="s">
        <v>925</v>
      </c>
      <c r="C70" s="616"/>
      <c r="D70" s="616"/>
      <c r="E70" s="616"/>
      <c r="F70" s="616"/>
      <c r="G70" s="616"/>
      <c r="H70" s="616"/>
      <c r="I70" s="610"/>
      <c r="J70" s="611" t="s">
        <v>424</v>
      </c>
      <c r="K70" s="611"/>
    </row>
    <row r="71" spans="2:11" ht="12.75" customHeight="1">
      <c r="B71" s="623" t="s">
        <v>206</v>
      </c>
      <c r="C71" s="622"/>
      <c r="D71" s="622"/>
      <c r="E71" s="622"/>
      <c r="F71" s="622"/>
      <c r="G71" s="622"/>
      <c r="H71" s="622"/>
      <c r="I71" s="610"/>
      <c r="J71" s="611" t="s">
        <v>425</v>
      </c>
      <c r="K71" s="611"/>
    </row>
    <row r="72" spans="2:11" ht="12.75" customHeight="1">
      <c r="B72" s="627" t="s">
        <v>721</v>
      </c>
      <c r="C72" s="628"/>
      <c r="D72" s="628"/>
      <c r="E72" s="628"/>
      <c r="F72" s="628"/>
      <c r="G72" s="628"/>
      <c r="H72" s="628"/>
      <c r="I72" s="610"/>
      <c r="J72" s="611" t="s">
        <v>426</v>
      </c>
      <c r="K72" s="611"/>
    </row>
    <row r="73" spans="2:11" ht="12.75" customHeight="1">
      <c r="B73" s="617" t="s">
        <v>595</v>
      </c>
      <c r="C73" s="611"/>
      <c r="D73" s="611"/>
      <c r="E73" s="611"/>
      <c r="F73" s="611"/>
      <c r="G73" s="611"/>
      <c r="H73" s="611"/>
      <c r="I73" s="610"/>
      <c r="J73" s="4" t="s">
        <v>342</v>
      </c>
      <c r="K73" s="611"/>
    </row>
    <row r="74" spans="2:11" ht="12.75" customHeight="1">
      <c r="B74" s="623" t="s">
        <v>214</v>
      </c>
      <c r="C74" s="629"/>
      <c r="D74" s="629"/>
      <c r="E74" s="629"/>
      <c r="F74" s="629"/>
      <c r="G74" s="629"/>
      <c r="H74" s="629"/>
      <c r="I74" s="610"/>
      <c r="J74" s="4" t="s">
        <v>343</v>
      </c>
      <c r="K74" s="611"/>
    </row>
    <row r="75" spans="1:9" ht="12.75">
      <c r="A75" s="605" t="s">
        <v>427</v>
      </c>
      <c r="I75" s="607"/>
    </row>
    <row r="76" spans="1:16" ht="3.75" customHeight="1">
      <c r="A76" s="607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</row>
    <row r="77" spans="2:11" ht="12.75" customHeight="1">
      <c r="B77" s="618" t="s">
        <v>801</v>
      </c>
      <c r="C77" s="608"/>
      <c r="D77" s="608"/>
      <c r="E77" s="608"/>
      <c r="F77" s="608"/>
      <c r="G77" s="608"/>
      <c r="H77" s="608"/>
      <c r="I77" s="610"/>
      <c r="J77" s="4" t="s">
        <v>344</v>
      </c>
      <c r="K77" s="611"/>
    </row>
    <row r="78" spans="2:11" ht="12.75" customHeight="1">
      <c r="B78" s="618" t="s">
        <v>802</v>
      </c>
      <c r="C78" s="608"/>
      <c r="D78" s="608"/>
      <c r="E78" s="608"/>
      <c r="F78" s="608"/>
      <c r="G78" s="608"/>
      <c r="H78" s="608"/>
      <c r="I78" s="610"/>
      <c r="J78" s="4" t="s">
        <v>345</v>
      </c>
      <c r="K78" s="611"/>
    </row>
    <row r="79" spans="2:11" ht="12.75" customHeight="1">
      <c r="B79" s="618" t="s">
        <v>804</v>
      </c>
      <c r="C79" s="608"/>
      <c r="D79" s="608"/>
      <c r="E79" s="608"/>
      <c r="F79" s="608"/>
      <c r="G79" s="608"/>
      <c r="H79" s="608"/>
      <c r="I79" s="610"/>
      <c r="J79" s="4" t="s">
        <v>346</v>
      </c>
      <c r="K79" s="611"/>
    </row>
    <row r="80" spans="2:11" ht="12.75" customHeight="1">
      <c r="B80" s="618" t="s">
        <v>428</v>
      </c>
      <c r="C80" s="609"/>
      <c r="D80" s="609"/>
      <c r="E80" s="609"/>
      <c r="F80" s="609"/>
      <c r="G80" s="609"/>
      <c r="H80" s="609"/>
      <c r="I80" s="610"/>
      <c r="J80" s="611" t="s">
        <v>429</v>
      </c>
      <c r="K80" s="611"/>
    </row>
    <row r="81" spans="2:11" ht="12.75" customHeight="1">
      <c r="B81" s="619" t="s">
        <v>4</v>
      </c>
      <c r="C81" s="612"/>
      <c r="D81" s="612"/>
      <c r="E81" s="612"/>
      <c r="F81" s="612"/>
      <c r="G81" s="612"/>
      <c r="H81" s="612"/>
      <c r="I81" s="610"/>
      <c r="J81" s="611" t="s">
        <v>430</v>
      </c>
      <c r="K81" s="611"/>
    </row>
    <row r="82" spans="2:11" ht="12.75" customHeight="1">
      <c r="B82" s="619" t="s">
        <v>431</v>
      </c>
      <c r="C82" s="612"/>
      <c r="D82" s="612"/>
      <c r="E82" s="612"/>
      <c r="F82" s="612"/>
      <c r="G82" s="612"/>
      <c r="H82" s="612"/>
      <c r="I82" s="610"/>
      <c r="J82" s="611" t="s">
        <v>432</v>
      </c>
      <c r="K82" s="611"/>
    </row>
    <row r="83" spans="2:11" ht="12.75" customHeight="1">
      <c r="B83" s="619" t="s">
        <v>115</v>
      </c>
      <c r="C83" s="612"/>
      <c r="D83" s="612"/>
      <c r="E83" s="612"/>
      <c r="F83" s="612"/>
      <c r="G83" s="612"/>
      <c r="H83" s="612"/>
      <c r="I83" s="610"/>
      <c r="J83" s="4" t="s">
        <v>347</v>
      </c>
      <c r="K83" s="611"/>
    </row>
    <row r="84" spans="2:11" ht="12.75" customHeight="1">
      <c r="B84" s="627" t="s">
        <v>723</v>
      </c>
      <c r="C84" s="628"/>
      <c r="D84" s="628"/>
      <c r="E84" s="628"/>
      <c r="F84" s="628"/>
      <c r="G84" s="628"/>
      <c r="H84" s="628"/>
      <c r="I84" s="610"/>
      <c r="J84" s="4" t="s">
        <v>348</v>
      </c>
      <c r="K84" s="611"/>
    </row>
    <row r="85" spans="1:9" ht="12.75">
      <c r="A85" s="605" t="s">
        <v>433</v>
      </c>
      <c r="B85" s="596"/>
      <c r="I85" s="607"/>
    </row>
    <row r="86" spans="1:16" ht="3.75" customHeight="1">
      <c r="A86" s="607"/>
      <c r="B86" s="630"/>
      <c r="C86" s="607"/>
      <c r="D86" s="607"/>
      <c r="E86" s="607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</row>
    <row r="87" spans="2:11" ht="12.75" customHeight="1">
      <c r="B87" s="619" t="s">
        <v>124</v>
      </c>
      <c r="C87" s="612"/>
      <c r="D87" s="612"/>
      <c r="E87" s="612"/>
      <c r="F87" s="612"/>
      <c r="G87" s="612"/>
      <c r="H87" s="612"/>
      <c r="I87" s="610"/>
      <c r="J87" s="611" t="s">
        <v>434</v>
      </c>
      <c r="K87" s="611"/>
    </row>
    <row r="88" spans="2:11" ht="12.75" customHeight="1">
      <c r="B88" s="619" t="s">
        <v>962</v>
      </c>
      <c r="C88" s="612"/>
      <c r="D88" s="612"/>
      <c r="E88" s="612"/>
      <c r="F88" s="612"/>
      <c r="G88" s="612"/>
      <c r="H88" s="612"/>
      <c r="I88" s="610"/>
      <c r="J88" s="4" t="s">
        <v>349</v>
      </c>
      <c r="K88" s="611"/>
    </row>
    <row r="89" spans="2:11" ht="12.75" customHeight="1">
      <c r="B89" s="619" t="s">
        <v>963</v>
      </c>
      <c r="C89" s="612"/>
      <c r="D89" s="612"/>
      <c r="E89" s="612"/>
      <c r="F89" s="612"/>
      <c r="G89" s="612"/>
      <c r="H89" s="612"/>
      <c r="I89" s="610"/>
      <c r="J89" s="4" t="s">
        <v>350</v>
      </c>
      <c r="K89" s="611"/>
    </row>
    <row r="90" spans="2:11" ht="12.75" customHeight="1">
      <c r="B90" s="619" t="s">
        <v>2</v>
      </c>
      <c r="C90" s="612"/>
      <c r="D90" s="612"/>
      <c r="E90" s="612"/>
      <c r="F90" s="612"/>
      <c r="G90" s="612"/>
      <c r="H90" s="612"/>
      <c r="I90" s="610"/>
      <c r="J90" s="4" t="s">
        <v>351</v>
      </c>
      <c r="K90" s="611"/>
    </row>
    <row r="91" spans="2:11" ht="12.75" customHeight="1">
      <c r="B91" s="619" t="s">
        <v>1</v>
      </c>
      <c r="C91" s="612"/>
      <c r="D91" s="612"/>
      <c r="E91" s="612"/>
      <c r="F91" s="612"/>
      <c r="G91" s="612"/>
      <c r="H91" s="612"/>
      <c r="I91" s="610"/>
      <c r="J91" s="4" t="s">
        <v>352</v>
      </c>
      <c r="K91" s="611"/>
    </row>
    <row r="92" spans="2:11" ht="12.75" customHeight="1">
      <c r="B92" s="631" t="s">
        <v>722</v>
      </c>
      <c r="C92" s="628"/>
      <c r="D92" s="628"/>
      <c r="E92" s="628"/>
      <c r="F92" s="628"/>
      <c r="G92" s="628"/>
      <c r="H92" s="628"/>
      <c r="I92" s="610"/>
      <c r="J92" s="4" t="s">
        <v>353</v>
      </c>
      <c r="K92" s="611"/>
    </row>
    <row r="93" spans="1:9" ht="12.75">
      <c r="A93" s="605" t="s">
        <v>435</v>
      </c>
      <c r="B93" s="596"/>
      <c r="I93" s="607"/>
    </row>
    <row r="94" spans="1:16" ht="3.75" customHeight="1">
      <c r="A94" s="607"/>
      <c r="B94" s="630"/>
      <c r="C94" s="607"/>
      <c r="D94" s="607"/>
      <c r="E94" s="607"/>
      <c r="F94" s="607"/>
      <c r="G94" s="607"/>
      <c r="H94" s="607"/>
      <c r="I94" s="607"/>
      <c r="J94" s="607"/>
      <c r="K94" s="607"/>
      <c r="L94" s="607"/>
      <c r="M94" s="607"/>
      <c r="N94" s="607"/>
      <c r="O94" s="607"/>
      <c r="P94" s="607"/>
    </row>
    <row r="95" spans="2:11" ht="12.75" customHeight="1">
      <c r="B95" s="611" t="s">
        <v>436</v>
      </c>
      <c r="C95" s="611"/>
      <c r="D95" s="611"/>
      <c r="E95" s="611"/>
      <c r="F95" s="611"/>
      <c r="G95" s="611"/>
      <c r="H95" s="611"/>
      <c r="I95" s="610"/>
      <c r="J95" s="611" t="s">
        <v>437</v>
      </c>
      <c r="K95" s="611"/>
    </row>
    <row r="96" spans="1:9" ht="12.75">
      <c r="A96" s="605" t="s">
        <v>438</v>
      </c>
      <c r="B96" s="596"/>
      <c r="I96" s="607"/>
    </row>
    <row r="97" spans="1:16" ht="3.75" customHeight="1">
      <c r="A97" s="607"/>
      <c r="B97" s="630"/>
      <c r="C97" s="607"/>
      <c r="D97" s="607"/>
      <c r="E97" s="607"/>
      <c r="F97" s="607"/>
      <c r="G97" s="607"/>
      <c r="H97" s="607"/>
      <c r="I97" s="607"/>
      <c r="J97" s="607"/>
      <c r="K97" s="607"/>
      <c r="L97" s="607"/>
      <c r="M97" s="607"/>
      <c r="N97" s="607"/>
      <c r="O97" s="607"/>
      <c r="P97" s="607"/>
    </row>
    <row r="98" spans="2:11" ht="12.75" customHeight="1">
      <c r="B98" s="622" t="s">
        <v>812</v>
      </c>
      <c r="C98" s="629"/>
      <c r="D98" s="629"/>
      <c r="E98" s="629"/>
      <c r="F98" s="629"/>
      <c r="G98" s="629"/>
      <c r="H98" s="629"/>
      <c r="I98" s="610"/>
      <c r="J98" s="4" t="s">
        <v>354</v>
      </c>
      <c r="K98" s="611"/>
    </row>
    <row r="99" spans="2:11" ht="12.75" customHeight="1">
      <c r="B99" s="611" t="s">
        <v>823</v>
      </c>
      <c r="C99" s="611"/>
      <c r="D99" s="611"/>
      <c r="E99" s="611"/>
      <c r="F99" s="611"/>
      <c r="G99" s="611"/>
      <c r="H99" s="611"/>
      <c r="I99" s="610"/>
      <c r="J99" s="4" t="s">
        <v>355</v>
      </c>
      <c r="K99" s="611"/>
    </row>
    <row r="100" spans="2:11" ht="12.75" customHeight="1">
      <c r="B100" s="611" t="s">
        <v>593</v>
      </c>
      <c r="C100" s="611"/>
      <c r="D100" s="611"/>
      <c r="E100" s="611"/>
      <c r="F100" s="611"/>
      <c r="G100" s="611"/>
      <c r="H100" s="611"/>
      <c r="I100" s="610"/>
      <c r="J100" s="611" t="s">
        <v>439</v>
      </c>
      <c r="K100" s="611"/>
    </row>
    <row r="101" spans="2:11" ht="12.75" customHeight="1">
      <c r="B101" s="611" t="s">
        <v>615</v>
      </c>
      <c r="C101" s="611"/>
      <c r="D101" s="611"/>
      <c r="E101" s="611"/>
      <c r="F101" s="611"/>
      <c r="G101" s="611"/>
      <c r="H101" s="611"/>
      <c r="I101" s="610"/>
      <c r="J101" s="611" t="s">
        <v>440</v>
      </c>
      <c r="K101" s="611"/>
    </row>
    <row r="102" spans="2:11" ht="12.75" customHeight="1">
      <c r="B102" s="608" t="s">
        <v>183</v>
      </c>
      <c r="C102" s="608"/>
      <c r="D102" s="608"/>
      <c r="E102" s="608"/>
      <c r="F102" s="608"/>
      <c r="G102" s="608"/>
      <c r="H102" s="608"/>
      <c r="I102" s="610"/>
      <c r="J102" s="611" t="s">
        <v>441</v>
      </c>
      <c r="K102" s="611"/>
    </row>
    <row r="103" spans="2:11" ht="12.75" customHeight="1">
      <c r="B103" s="608" t="s">
        <v>85</v>
      </c>
      <c r="C103" s="608"/>
      <c r="D103" s="608"/>
      <c r="E103" s="608"/>
      <c r="F103" s="608"/>
      <c r="G103" s="608"/>
      <c r="H103" s="608"/>
      <c r="I103" s="610"/>
      <c r="J103" s="4" t="s">
        <v>356</v>
      </c>
      <c r="K103" s="611"/>
    </row>
    <row r="104" spans="2:11" ht="12.75" customHeight="1">
      <c r="B104" s="622" t="s">
        <v>208</v>
      </c>
      <c r="C104" s="622"/>
      <c r="D104" s="622"/>
      <c r="E104" s="622"/>
      <c r="F104" s="622"/>
      <c r="G104" s="622"/>
      <c r="H104" s="622"/>
      <c r="I104" s="610"/>
      <c r="J104" s="611" t="s">
        <v>442</v>
      </c>
      <c r="K104" s="611"/>
    </row>
    <row r="105" spans="2:11" ht="12.75" customHeight="1">
      <c r="B105" s="608" t="s">
        <v>929</v>
      </c>
      <c r="C105" s="608"/>
      <c r="D105" s="608"/>
      <c r="E105" s="608"/>
      <c r="F105" s="608"/>
      <c r="G105" s="608"/>
      <c r="H105" s="608"/>
      <c r="I105" s="610"/>
      <c r="J105" s="4" t="s">
        <v>357</v>
      </c>
      <c r="K105" s="611"/>
    </row>
    <row r="106" spans="2:11" ht="12.75" customHeight="1">
      <c r="B106" s="611" t="s">
        <v>55</v>
      </c>
      <c r="C106" s="611"/>
      <c r="D106" s="611"/>
      <c r="E106" s="611"/>
      <c r="F106" s="611"/>
      <c r="G106" s="611"/>
      <c r="H106" s="611"/>
      <c r="I106" s="610"/>
      <c r="J106" s="611" t="s">
        <v>443</v>
      </c>
      <c r="K106" s="611"/>
    </row>
    <row r="107" spans="2:11" ht="12.75" customHeight="1">
      <c r="B107" s="608" t="s">
        <v>58</v>
      </c>
      <c r="C107" s="608"/>
      <c r="D107" s="608"/>
      <c r="E107" s="608"/>
      <c r="F107" s="608"/>
      <c r="G107" s="608"/>
      <c r="H107" s="608"/>
      <c r="I107" s="610"/>
      <c r="J107" s="611" t="s">
        <v>444</v>
      </c>
      <c r="K107" s="611"/>
    </row>
    <row r="108" spans="2:11" ht="12.75" customHeight="1">
      <c r="B108" s="608" t="s">
        <v>84</v>
      </c>
      <c r="C108" s="608"/>
      <c r="D108" s="608"/>
      <c r="E108" s="608"/>
      <c r="F108" s="608"/>
      <c r="G108" s="608"/>
      <c r="H108" s="608"/>
      <c r="I108" s="610"/>
      <c r="J108" s="611" t="s">
        <v>445</v>
      </c>
      <c r="K108" s="611"/>
    </row>
    <row r="109" spans="2:11" ht="12.75" customHeight="1">
      <c r="B109" s="608" t="s">
        <v>95</v>
      </c>
      <c r="C109" s="608"/>
      <c r="D109" s="608"/>
      <c r="E109" s="608"/>
      <c r="F109" s="608"/>
      <c r="G109" s="608"/>
      <c r="H109" s="608"/>
      <c r="I109" s="610"/>
      <c r="J109" s="4" t="s">
        <v>358</v>
      </c>
      <c r="K109" s="611"/>
    </row>
    <row r="110" spans="1:9" ht="12.75">
      <c r="A110" s="605" t="s">
        <v>446</v>
      </c>
      <c r="B110" s="596"/>
      <c r="I110" s="607"/>
    </row>
    <row r="111" spans="1:16" ht="3.75" customHeight="1">
      <c r="A111" s="607"/>
      <c r="B111" s="630"/>
      <c r="C111" s="607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</row>
    <row r="112" spans="2:11" ht="12.75" customHeight="1">
      <c r="B112" s="611" t="s">
        <v>631</v>
      </c>
      <c r="C112" s="611"/>
      <c r="D112" s="611"/>
      <c r="E112" s="611"/>
      <c r="F112" s="611"/>
      <c r="G112" s="611"/>
      <c r="H112" s="611"/>
      <c r="I112" s="610"/>
      <c r="J112" s="4" t="s">
        <v>359</v>
      </c>
      <c r="K112" s="611"/>
    </row>
    <row r="113" spans="1:9" ht="12.75">
      <c r="A113" s="605" t="s">
        <v>447</v>
      </c>
      <c r="B113" s="596"/>
      <c r="I113" s="607"/>
    </row>
    <row r="114" spans="1:16" ht="3.75" customHeight="1">
      <c r="A114" s="607"/>
      <c r="B114" s="630"/>
      <c r="C114" s="607"/>
      <c r="D114" s="607"/>
      <c r="E114" s="607"/>
      <c r="F114" s="607"/>
      <c r="G114" s="607"/>
      <c r="H114" s="607"/>
      <c r="I114" s="607"/>
      <c r="J114" s="607"/>
      <c r="K114" s="607"/>
      <c r="L114" s="607"/>
      <c r="M114" s="607"/>
      <c r="N114" s="607"/>
      <c r="O114" s="607"/>
      <c r="P114" s="607"/>
    </row>
    <row r="115" spans="2:11" ht="12.75" customHeight="1">
      <c r="B115" s="622" t="s">
        <v>203</v>
      </c>
      <c r="C115" s="622"/>
      <c r="D115" s="622"/>
      <c r="E115" s="622"/>
      <c r="F115" s="622"/>
      <c r="G115" s="622"/>
      <c r="H115" s="622"/>
      <c r="I115" s="610"/>
      <c r="J115" s="611" t="s">
        <v>448</v>
      </c>
      <c r="K115" s="611"/>
    </row>
    <row r="116" spans="2:11" ht="12.75" customHeight="1">
      <c r="B116" s="611" t="s">
        <v>449</v>
      </c>
      <c r="C116" s="611"/>
      <c r="D116" s="611"/>
      <c r="E116" s="611"/>
      <c r="F116" s="611"/>
      <c r="G116" s="611"/>
      <c r="H116" s="611"/>
      <c r="I116" s="610"/>
      <c r="J116" s="611" t="s">
        <v>450</v>
      </c>
      <c r="K116" s="611"/>
    </row>
    <row r="117" spans="2:11" ht="12.75" customHeight="1">
      <c r="B117" s="608" t="s">
        <v>80</v>
      </c>
      <c r="C117" s="608"/>
      <c r="D117" s="608"/>
      <c r="E117" s="608"/>
      <c r="F117" s="608"/>
      <c r="G117" s="608"/>
      <c r="H117" s="608"/>
      <c r="I117" s="610"/>
      <c r="J117" s="611" t="s">
        <v>451</v>
      </c>
      <c r="K117" s="611"/>
    </row>
    <row r="118" spans="2:11" ht="12.75" customHeight="1">
      <c r="B118" s="632" t="s">
        <v>212</v>
      </c>
      <c r="C118" s="632"/>
      <c r="D118" s="632"/>
      <c r="E118" s="632"/>
      <c r="F118" s="632"/>
      <c r="G118" s="632"/>
      <c r="H118" s="632"/>
      <c r="I118" s="610"/>
      <c r="J118" s="611" t="s">
        <v>452</v>
      </c>
      <c r="K118" s="611"/>
    </row>
    <row r="119" spans="1:9" ht="12.75">
      <c r="A119" s="605" t="s">
        <v>453</v>
      </c>
      <c r="B119" s="596"/>
      <c r="I119" s="607"/>
    </row>
    <row r="120" spans="1:16" ht="3.75" customHeight="1">
      <c r="A120" s="607"/>
      <c r="B120" s="630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7"/>
      <c r="P120" s="607"/>
    </row>
    <row r="121" spans="2:11" ht="12.75" customHeight="1">
      <c r="B121" s="633" t="s">
        <v>454</v>
      </c>
      <c r="C121" s="633"/>
      <c r="D121" s="633"/>
      <c r="E121" s="633"/>
      <c r="F121" s="633"/>
      <c r="G121" s="633"/>
      <c r="H121" s="633"/>
      <c r="I121" s="610"/>
      <c r="J121" s="611" t="s">
        <v>455</v>
      </c>
      <c r="K121" s="611"/>
    </row>
    <row r="122" spans="2:11" ht="12.75" customHeight="1">
      <c r="B122" s="631" t="s">
        <v>688</v>
      </c>
      <c r="C122" s="628"/>
      <c r="D122" s="628"/>
      <c r="E122" s="628"/>
      <c r="F122" s="628"/>
      <c r="G122" s="628"/>
      <c r="H122" s="628"/>
      <c r="I122" s="610"/>
      <c r="J122" s="611" t="s">
        <v>456</v>
      </c>
      <c r="K122" s="611"/>
    </row>
    <row r="123" spans="2:11" ht="12.75" customHeight="1">
      <c r="B123" s="608" t="s">
        <v>457</v>
      </c>
      <c r="C123" s="608"/>
      <c r="D123" s="608"/>
      <c r="E123" s="608"/>
      <c r="F123" s="608"/>
      <c r="G123" s="608"/>
      <c r="H123" s="608"/>
      <c r="I123" s="610"/>
      <c r="J123" s="611" t="s">
        <v>458</v>
      </c>
      <c r="K123" s="611"/>
    </row>
    <row r="124" spans="2:11" ht="12.75" customHeight="1">
      <c r="B124" s="611" t="s">
        <v>459</v>
      </c>
      <c r="C124" s="611"/>
      <c r="D124" s="611"/>
      <c r="E124" s="611"/>
      <c r="F124" s="611"/>
      <c r="G124" s="611"/>
      <c r="H124" s="611"/>
      <c r="I124" s="610"/>
      <c r="J124" s="611" t="s">
        <v>460</v>
      </c>
      <c r="K124" s="611"/>
    </row>
    <row r="125" spans="2:11" ht="12.75" customHeight="1">
      <c r="B125" s="608" t="s">
        <v>461</v>
      </c>
      <c r="C125" s="608"/>
      <c r="D125" s="608"/>
      <c r="E125" s="608"/>
      <c r="F125" s="608"/>
      <c r="G125" s="608"/>
      <c r="H125" s="608"/>
      <c r="I125" s="610"/>
      <c r="J125" s="4" t="s">
        <v>360</v>
      </c>
      <c r="K125" s="611"/>
    </row>
    <row r="126" spans="2:11" ht="12.75" customHeight="1">
      <c r="B126" s="608" t="s">
        <v>830</v>
      </c>
      <c r="C126" s="608"/>
      <c r="D126" s="608"/>
      <c r="E126" s="608"/>
      <c r="F126" s="608"/>
      <c r="G126" s="608"/>
      <c r="H126" s="608"/>
      <c r="I126" s="610"/>
      <c r="J126" s="611" t="s">
        <v>462</v>
      </c>
      <c r="K126" s="611"/>
    </row>
    <row r="127" spans="2:11" ht="12.75" customHeight="1">
      <c r="B127" s="611" t="s">
        <v>463</v>
      </c>
      <c r="C127" s="611"/>
      <c r="D127" s="611"/>
      <c r="E127" s="611"/>
      <c r="F127" s="611"/>
      <c r="G127" s="611"/>
      <c r="H127" s="611"/>
      <c r="I127" s="610"/>
      <c r="J127" s="611"/>
      <c r="K127" s="611"/>
    </row>
    <row r="128" spans="2:11" ht="12.75" customHeight="1">
      <c r="B128" s="622" t="s">
        <v>202</v>
      </c>
      <c r="C128" s="622"/>
      <c r="D128" s="622"/>
      <c r="E128" s="622"/>
      <c r="F128" s="622"/>
      <c r="G128" s="622"/>
      <c r="H128" s="622"/>
      <c r="I128" s="610"/>
      <c r="J128" s="611" t="s">
        <v>464</v>
      </c>
      <c r="K128" s="611"/>
    </row>
    <row r="129" spans="2:11" ht="12.75" customHeight="1">
      <c r="B129" s="623" t="s">
        <v>205</v>
      </c>
      <c r="C129" s="622"/>
      <c r="D129" s="622"/>
      <c r="E129" s="622"/>
      <c r="F129" s="622"/>
      <c r="G129" s="622"/>
      <c r="H129" s="622"/>
      <c r="I129" s="610"/>
      <c r="J129" s="611" t="s">
        <v>465</v>
      </c>
      <c r="K129" s="611"/>
    </row>
    <row r="130" spans="2:11" ht="12.75" customHeight="1">
      <c r="B130" s="617" t="s">
        <v>466</v>
      </c>
      <c r="C130" s="611"/>
      <c r="D130" s="611"/>
      <c r="E130" s="611"/>
      <c r="F130" s="611"/>
      <c r="G130" s="611"/>
      <c r="H130" s="611"/>
      <c r="I130" s="610"/>
      <c r="J130" s="611" t="s">
        <v>467</v>
      </c>
      <c r="K130" s="611"/>
    </row>
    <row r="131" spans="2:11" ht="12.75" customHeight="1">
      <c r="B131" s="611" t="s">
        <v>703</v>
      </c>
      <c r="C131" s="611"/>
      <c r="D131" s="611"/>
      <c r="E131" s="611"/>
      <c r="F131" s="611"/>
      <c r="G131" s="611"/>
      <c r="H131" s="611"/>
      <c r="I131" s="610"/>
      <c r="J131" s="611" t="s">
        <v>468</v>
      </c>
      <c r="K131" s="611"/>
    </row>
    <row r="132" spans="2:11" ht="12.75" customHeight="1">
      <c r="B132" s="611" t="s">
        <v>469</v>
      </c>
      <c r="C132" s="611"/>
      <c r="D132" s="611"/>
      <c r="E132" s="611"/>
      <c r="F132" s="611"/>
      <c r="G132" s="611"/>
      <c r="H132" s="611"/>
      <c r="I132" s="610"/>
      <c r="J132" s="611" t="s">
        <v>470</v>
      </c>
      <c r="K132" s="611"/>
    </row>
    <row r="133" spans="1:9" ht="12.75">
      <c r="A133" s="605" t="s">
        <v>471</v>
      </c>
      <c r="B133" s="596"/>
      <c r="I133" s="607"/>
    </row>
    <row r="134" spans="1:16" ht="3.75" customHeight="1">
      <c r="A134" s="607" t="s">
        <v>471</v>
      </c>
      <c r="B134" s="630"/>
      <c r="C134" s="607"/>
      <c r="D134" s="607"/>
      <c r="E134" s="607"/>
      <c r="F134" s="607"/>
      <c r="G134" s="607"/>
      <c r="H134" s="607"/>
      <c r="I134" s="607"/>
      <c r="J134" s="607"/>
      <c r="K134" s="607"/>
      <c r="L134" s="607"/>
      <c r="M134" s="607"/>
      <c r="N134" s="607"/>
      <c r="O134" s="607"/>
      <c r="P134" s="607"/>
    </row>
    <row r="135" spans="2:11" ht="12.75" customHeight="1">
      <c r="B135" s="617" t="s">
        <v>738</v>
      </c>
      <c r="C135" s="611"/>
      <c r="D135" s="611"/>
      <c r="E135" s="611"/>
      <c r="F135" s="611"/>
      <c r="G135" s="611"/>
      <c r="H135" s="611"/>
      <c r="I135" s="610"/>
      <c r="J135" s="611" t="s">
        <v>472</v>
      </c>
      <c r="K135" s="611"/>
    </row>
    <row r="136" spans="2:11" ht="12.75" customHeight="1">
      <c r="B136" s="611" t="s">
        <v>473</v>
      </c>
      <c r="C136" s="611"/>
      <c r="D136" s="611"/>
      <c r="E136" s="611"/>
      <c r="F136" s="611"/>
      <c r="G136" s="611"/>
      <c r="H136" s="611"/>
      <c r="I136" s="610"/>
      <c r="J136" s="611" t="s">
        <v>474</v>
      </c>
      <c r="K136" s="611"/>
    </row>
    <row r="137" spans="2:11" ht="12.75" customHeight="1">
      <c r="B137" s="619" t="s">
        <v>475</v>
      </c>
      <c r="C137" s="612"/>
      <c r="D137" s="612"/>
      <c r="E137" s="612"/>
      <c r="F137" s="612"/>
      <c r="G137" s="612"/>
      <c r="H137" s="612"/>
      <c r="I137" s="610"/>
      <c r="J137" s="611" t="s">
        <v>476</v>
      </c>
      <c r="K137" s="611"/>
    </row>
    <row r="138" spans="2:11" ht="12.75" customHeight="1">
      <c r="B138" s="626" t="s">
        <v>949</v>
      </c>
      <c r="C138" s="616"/>
      <c r="D138" s="616"/>
      <c r="E138" s="616"/>
      <c r="F138" s="616"/>
      <c r="G138" s="616"/>
      <c r="H138" s="616"/>
      <c r="I138" s="610"/>
      <c r="J138" s="4" t="s">
        <v>361</v>
      </c>
      <c r="K138" s="611"/>
    </row>
    <row r="139" spans="2:11" ht="12.75" customHeight="1">
      <c r="B139" s="634" t="s">
        <v>719</v>
      </c>
      <c r="C139" s="635"/>
      <c r="D139" s="635"/>
      <c r="E139" s="635"/>
      <c r="F139" s="635"/>
      <c r="G139" s="635"/>
      <c r="H139" s="635"/>
      <c r="I139" s="610"/>
      <c r="J139" s="611" t="s">
        <v>477</v>
      </c>
      <c r="K139" s="611"/>
    </row>
    <row r="140" spans="2:11" ht="12.75" customHeight="1">
      <c r="B140" s="608" t="s">
        <v>574</v>
      </c>
      <c r="C140" s="608"/>
      <c r="D140" s="608"/>
      <c r="E140" s="608"/>
      <c r="F140" s="608"/>
      <c r="G140" s="608"/>
      <c r="H140" s="608"/>
      <c r="I140" s="610"/>
      <c r="J140" s="611" t="s">
        <v>478</v>
      </c>
      <c r="K140" s="611"/>
    </row>
    <row r="141" spans="2:11" ht="12.75" customHeight="1">
      <c r="B141" s="636" t="s">
        <v>127</v>
      </c>
      <c r="C141" s="637"/>
      <c r="D141" s="637"/>
      <c r="E141" s="637"/>
      <c r="F141" s="637"/>
      <c r="G141" s="637"/>
      <c r="H141" s="637"/>
      <c r="I141" s="610"/>
      <c r="J141" s="611" t="s">
        <v>479</v>
      </c>
      <c r="K141" s="611"/>
    </row>
    <row r="142" spans="2:11" ht="12.75" customHeight="1">
      <c r="B142" s="612" t="s">
        <v>807</v>
      </c>
      <c r="C142" s="612"/>
      <c r="D142" s="612"/>
      <c r="E142" s="612"/>
      <c r="F142" s="612"/>
      <c r="G142" s="612"/>
      <c r="H142" s="612"/>
      <c r="I142" s="610"/>
      <c r="J142" s="611" t="s">
        <v>480</v>
      </c>
      <c r="K142" s="611"/>
    </row>
    <row r="143" spans="2:11" ht="12.75" customHeight="1">
      <c r="B143" s="619" t="s">
        <v>789</v>
      </c>
      <c r="C143" s="612"/>
      <c r="D143" s="612"/>
      <c r="E143" s="612"/>
      <c r="F143" s="612"/>
      <c r="G143" s="612"/>
      <c r="H143" s="612"/>
      <c r="I143" s="610"/>
      <c r="J143" s="4" t="s">
        <v>362</v>
      </c>
      <c r="K143" s="611"/>
    </row>
    <row r="144" spans="2:11" ht="12.75" customHeight="1">
      <c r="B144" s="618" t="s">
        <v>813</v>
      </c>
      <c r="C144" s="608"/>
      <c r="D144" s="608"/>
      <c r="E144" s="608"/>
      <c r="F144" s="608"/>
      <c r="G144" s="608"/>
      <c r="H144" s="608"/>
      <c r="I144" s="610"/>
      <c r="J144" s="611" t="s">
        <v>481</v>
      </c>
      <c r="K144" s="611"/>
    </row>
    <row r="145" spans="2:11" ht="12.75" customHeight="1">
      <c r="B145" s="619" t="s">
        <v>791</v>
      </c>
      <c r="C145" s="612"/>
      <c r="D145" s="612"/>
      <c r="E145" s="612"/>
      <c r="F145" s="612"/>
      <c r="G145" s="612"/>
      <c r="H145" s="612"/>
      <c r="I145" s="610"/>
      <c r="J145" s="611" t="s">
        <v>482</v>
      </c>
      <c r="K145" s="611"/>
    </row>
    <row r="146" spans="2:11" ht="12.75" customHeight="1">
      <c r="B146" s="619" t="s">
        <v>222</v>
      </c>
      <c r="C146" s="612"/>
      <c r="D146" s="612"/>
      <c r="E146" s="612"/>
      <c r="F146" s="612"/>
      <c r="G146" s="612"/>
      <c r="H146" s="612"/>
      <c r="I146" s="610"/>
      <c r="J146" s="611" t="s">
        <v>483</v>
      </c>
      <c r="K146" s="611"/>
    </row>
    <row r="147" spans="2:11" ht="12.75" customHeight="1">
      <c r="B147" s="631" t="s">
        <v>850</v>
      </c>
      <c r="C147" s="628"/>
      <c r="D147" s="628"/>
      <c r="E147" s="628"/>
      <c r="F147" s="628"/>
      <c r="G147" s="628"/>
      <c r="H147" s="628"/>
      <c r="I147" s="610"/>
      <c r="J147" s="611" t="s">
        <v>484</v>
      </c>
      <c r="K147" s="611"/>
    </row>
    <row r="148" spans="2:11" ht="12.75" customHeight="1">
      <c r="B148" s="618" t="s">
        <v>806</v>
      </c>
      <c r="C148" s="608"/>
      <c r="D148" s="608"/>
      <c r="E148" s="608"/>
      <c r="F148" s="608"/>
      <c r="G148" s="608"/>
      <c r="H148" s="608"/>
      <c r="I148" s="610"/>
      <c r="J148" s="611" t="s">
        <v>485</v>
      </c>
      <c r="K148" s="611"/>
    </row>
    <row r="149" spans="2:11" ht="12.75" customHeight="1">
      <c r="B149" s="611" t="s">
        <v>486</v>
      </c>
      <c r="C149" s="611"/>
      <c r="D149" s="611"/>
      <c r="E149" s="611"/>
      <c r="F149" s="611"/>
      <c r="G149" s="611"/>
      <c r="H149" s="611"/>
      <c r="I149" s="610"/>
      <c r="J149" s="4" t="s">
        <v>363</v>
      </c>
      <c r="K149" s="611"/>
    </row>
    <row r="150" spans="2:11" ht="12.75" customHeight="1">
      <c r="B150" s="618" t="s">
        <v>961</v>
      </c>
      <c r="C150" s="608"/>
      <c r="D150" s="608"/>
      <c r="E150" s="608"/>
      <c r="F150" s="608"/>
      <c r="G150" s="608"/>
      <c r="H150" s="608"/>
      <c r="I150" s="610"/>
      <c r="J150" s="611" t="s">
        <v>487</v>
      </c>
      <c r="K150" s="611"/>
    </row>
    <row r="151" spans="2:11" ht="12.75" customHeight="1">
      <c r="B151" s="618" t="s">
        <v>28</v>
      </c>
      <c r="C151" s="608"/>
      <c r="D151" s="608"/>
      <c r="E151" s="608"/>
      <c r="F151" s="608"/>
      <c r="G151" s="608"/>
      <c r="H151" s="608"/>
      <c r="I151" s="610"/>
      <c r="J151" s="611" t="s">
        <v>488</v>
      </c>
      <c r="K151" s="611"/>
    </row>
    <row r="152" spans="1:9" ht="12.75">
      <c r="A152" s="605" t="s">
        <v>489</v>
      </c>
      <c r="B152" s="596"/>
      <c r="I152" s="607"/>
    </row>
    <row r="153" spans="1:16" ht="3.75" customHeight="1">
      <c r="A153" s="607"/>
      <c r="B153" s="630"/>
      <c r="C153" s="607"/>
      <c r="D153" s="607"/>
      <c r="E153" s="607"/>
      <c r="F153" s="607"/>
      <c r="G153" s="607"/>
      <c r="H153" s="607"/>
      <c r="I153" s="607"/>
      <c r="J153" s="607"/>
      <c r="K153" s="607"/>
      <c r="L153" s="607"/>
      <c r="M153" s="607"/>
      <c r="N153" s="607"/>
      <c r="O153" s="607"/>
      <c r="P153" s="607"/>
    </row>
    <row r="154" spans="2:11" ht="12.75" customHeight="1">
      <c r="B154" s="621" t="s">
        <v>90</v>
      </c>
      <c r="C154" s="621"/>
      <c r="D154" s="621"/>
      <c r="E154" s="621"/>
      <c r="F154" s="621"/>
      <c r="G154" s="621"/>
      <c r="H154" s="621"/>
      <c r="I154" s="610"/>
      <c r="J154" s="611" t="s">
        <v>490</v>
      </c>
      <c r="K154" s="611"/>
    </row>
    <row r="155" spans="2:11" ht="12.75" customHeight="1">
      <c r="B155" s="621" t="s">
        <v>91</v>
      </c>
      <c r="C155" s="621"/>
      <c r="D155" s="621"/>
      <c r="E155" s="621"/>
      <c r="F155" s="621"/>
      <c r="G155" s="621"/>
      <c r="H155" s="621"/>
      <c r="I155" s="610"/>
      <c r="J155" s="611" t="s">
        <v>491</v>
      </c>
      <c r="K155" s="611"/>
    </row>
    <row r="156" spans="2:11" ht="12.75" customHeight="1">
      <c r="B156" s="608" t="s">
        <v>33</v>
      </c>
      <c r="C156" s="608"/>
      <c r="D156" s="608"/>
      <c r="E156" s="608"/>
      <c r="F156" s="608"/>
      <c r="G156" s="608"/>
      <c r="H156" s="608"/>
      <c r="I156" s="610"/>
      <c r="J156" s="611" t="s">
        <v>492</v>
      </c>
      <c r="K156" s="611"/>
    </row>
    <row r="157" spans="2:11" ht="12.75" customHeight="1">
      <c r="B157" s="608" t="s">
        <v>34</v>
      </c>
      <c r="C157" s="608"/>
      <c r="D157" s="608"/>
      <c r="E157" s="608"/>
      <c r="F157" s="608"/>
      <c r="G157" s="608"/>
      <c r="H157" s="608"/>
      <c r="I157" s="610"/>
      <c r="J157" s="611" t="s">
        <v>493</v>
      </c>
      <c r="K157" s="611"/>
    </row>
    <row r="158" spans="2:11" ht="12.75" customHeight="1">
      <c r="B158" s="608" t="s">
        <v>11</v>
      </c>
      <c r="C158" s="608"/>
      <c r="D158" s="608"/>
      <c r="E158" s="608"/>
      <c r="F158" s="608"/>
      <c r="G158" s="608"/>
      <c r="H158" s="608"/>
      <c r="I158" s="610"/>
      <c r="J158" s="611" t="s">
        <v>494</v>
      </c>
      <c r="K158" s="611"/>
    </row>
    <row r="159" spans="2:11" ht="12.75" customHeight="1">
      <c r="B159" s="617" t="s">
        <v>614</v>
      </c>
      <c r="C159" s="611"/>
      <c r="D159" s="611"/>
      <c r="E159" s="611"/>
      <c r="F159" s="611"/>
      <c r="G159" s="611"/>
      <c r="H159" s="611"/>
      <c r="I159" s="610"/>
      <c r="J159" s="611" t="s">
        <v>495</v>
      </c>
      <c r="K159" s="611"/>
    </row>
    <row r="160" spans="2:11" ht="12.75" customHeight="1">
      <c r="B160" s="608" t="s">
        <v>496</v>
      </c>
      <c r="C160" s="608"/>
      <c r="D160" s="608"/>
      <c r="E160" s="608"/>
      <c r="F160" s="608"/>
      <c r="G160" s="608"/>
      <c r="H160" s="608"/>
      <c r="I160" s="610"/>
      <c r="J160" s="611" t="s">
        <v>497</v>
      </c>
      <c r="K160" s="611"/>
    </row>
    <row r="161" spans="2:11" ht="12.75" customHeight="1">
      <c r="B161" s="618" t="s">
        <v>926</v>
      </c>
      <c r="C161" s="608"/>
      <c r="D161" s="608"/>
      <c r="E161" s="608"/>
      <c r="F161" s="608"/>
      <c r="G161" s="608"/>
      <c r="H161" s="608"/>
      <c r="I161" s="610"/>
      <c r="J161" s="611" t="s">
        <v>498</v>
      </c>
      <c r="K161" s="611"/>
    </row>
    <row r="162" spans="2:11" ht="12.75" customHeight="1">
      <c r="B162" s="622" t="s">
        <v>606</v>
      </c>
      <c r="C162" s="622"/>
      <c r="D162" s="622"/>
      <c r="E162" s="622"/>
      <c r="F162" s="622"/>
      <c r="G162" s="622"/>
      <c r="H162" s="622"/>
      <c r="I162" s="610"/>
      <c r="J162" s="611" t="s">
        <v>499</v>
      </c>
      <c r="K162" s="611"/>
    </row>
    <row r="163" spans="2:11" ht="12.75" customHeight="1">
      <c r="B163" s="620" t="s">
        <v>225</v>
      </c>
      <c r="C163" s="621"/>
      <c r="D163" s="621"/>
      <c r="E163" s="621"/>
      <c r="F163" s="621"/>
      <c r="G163" s="621"/>
      <c r="H163" s="621"/>
      <c r="I163" s="610"/>
      <c r="J163" s="611" t="s">
        <v>500</v>
      </c>
      <c r="K163" s="611"/>
    </row>
    <row r="164" spans="2:11" ht="12.75" customHeight="1">
      <c r="B164" s="620" t="s">
        <v>223</v>
      </c>
      <c r="C164" s="621"/>
      <c r="D164" s="621"/>
      <c r="E164" s="621"/>
      <c r="F164" s="621"/>
      <c r="G164" s="621"/>
      <c r="H164" s="621"/>
      <c r="I164" s="610"/>
      <c r="J164" s="611" t="s">
        <v>501</v>
      </c>
      <c r="K164" s="611"/>
    </row>
    <row r="165" spans="2:11" ht="12.75" customHeight="1">
      <c r="B165" s="620" t="s">
        <v>224</v>
      </c>
      <c r="C165" s="621"/>
      <c r="D165" s="621"/>
      <c r="E165" s="621"/>
      <c r="F165" s="621"/>
      <c r="G165" s="621"/>
      <c r="H165" s="621"/>
      <c r="I165" s="610"/>
      <c r="J165" s="611" t="s">
        <v>502</v>
      </c>
      <c r="K165" s="611"/>
    </row>
    <row r="166" spans="2:11" ht="12.75" customHeight="1">
      <c r="B166" s="623" t="s">
        <v>207</v>
      </c>
      <c r="C166" s="622"/>
      <c r="D166" s="622"/>
      <c r="E166" s="622"/>
      <c r="F166" s="622"/>
      <c r="G166" s="622"/>
      <c r="H166" s="622"/>
      <c r="I166" s="610"/>
      <c r="J166" s="611" t="s">
        <v>503</v>
      </c>
      <c r="K166" s="611"/>
    </row>
    <row r="167" spans="2:11" ht="12.75" customHeight="1">
      <c r="B167" s="618" t="s">
        <v>616</v>
      </c>
      <c r="C167" s="608"/>
      <c r="D167" s="608"/>
      <c r="E167" s="608"/>
      <c r="F167" s="608"/>
      <c r="G167" s="608"/>
      <c r="H167" s="608"/>
      <c r="I167" s="610"/>
      <c r="J167" s="4" t="s">
        <v>364</v>
      </c>
      <c r="K167" s="611"/>
    </row>
    <row r="168" spans="1:9" ht="12.75">
      <c r="A168" s="605" t="s">
        <v>504</v>
      </c>
      <c r="B168" s="596"/>
      <c r="I168" s="607"/>
    </row>
    <row r="169" spans="1:16" ht="3.75" customHeight="1">
      <c r="A169" s="607"/>
      <c r="B169" s="630"/>
      <c r="C169" s="607"/>
      <c r="D169" s="607"/>
      <c r="E169" s="607"/>
      <c r="F169" s="607"/>
      <c r="G169" s="607"/>
      <c r="H169" s="607"/>
      <c r="I169" s="607"/>
      <c r="J169" s="607"/>
      <c r="K169" s="607"/>
      <c r="L169" s="607"/>
      <c r="M169" s="607"/>
      <c r="N169" s="607"/>
      <c r="O169" s="607"/>
      <c r="P169" s="607"/>
    </row>
    <row r="170" spans="2:11" ht="12.75" customHeight="1">
      <c r="B170" s="638" t="s">
        <v>211</v>
      </c>
      <c r="C170" s="633"/>
      <c r="D170" s="633"/>
      <c r="E170" s="633"/>
      <c r="F170" s="633"/>
      <c r="G170" s="633"/>
      <c r="H170" s="633"/>
      <c r="I170" s="610"/>
      <c r="J170" s="4" t="s">
        <v>365</v>
      </c>
      <c r="K170" s="611"/>
    </row>
    <row r="171" spans="2:11" ht="12.75" customHeight="1">
      <c r="B171" s="618" t="s">
        <v>625</v>
      </c>
      <c r="C171" s="608"/>
      <c r="D171" s="608"/>
      <c r="E171" s="608"/>
      <c r="F171" s="608"/>
      <c r="G171" s="608"/>
      <c r="H171" s="608"/>
      <c r="I171" s="610"/>
      <c r="J171" s="4" t="s">
        <v>366</v>
      </c>
      <c r="K171" s="611"/>
    </row>
    <row r="172" spans="2:11" ht="12.75" customHeight="1">
      <c r="B172" s="617" t="s">
        <v>602</v>
      </c>
      <c r="C172" s="611"/>
      <c r="D172" s="611"/>
      <c r="E172" s="611"/>
      <c r="F172" s="611"/>
      <c r="G172" s="611"/>
      <c r="H172" s="611"/>
      <c r="I172" s="610"/>
      <c r="J172" s="4" t="s">
        <v>367</v>
      </c>
      <c r="K172" s="611"/>
    </row>
    <row r="173" spans="2:11" ht="12.75" customHeight="1">
      <c r="B173" s="623" t="s">
        <v>218</v>
      </c>
      <c r="C173" s="622"/>
      <c r="D173" s="622"/>
      <c r="E173" s="622"/>
      <c r="F173" s="622"/>
      <c r="G173" s="622"/>
      <c r="H173" s="622"/>
      <c r="I173" s="610"/>
      <c r="J173" s="611" t="s">
        <v>505</v>
      </c>
      <c r="K173" s="611"/>
    </row>
    <row r="174" spans="2:11" ht="12.75" customHeight="1">
      <c r="B174" s="617" t="s">
        <v>506</v>
      </c>
      <c r="C174" s="611"/>
      <c r="D174" s="611"/>
      <c r="E174" s="611"/>
      <c r="F174" s="611"/>
      <c r="G174" s="611"/>
      <c r="H174" s="611"/>
      <c r="I174" s="610"/>
      <c r="J174" s="611" t="s">
        <v>507</v>
      </c>
      <c r="K174" s="611"/>
    </row>
    <row r="175" spans="2:11" ht="12.75" customHeight="1">
      <c r="B175" s="619" t="s">
        <v>959</v>
      </c>
      <c r="C175" s="613"/>
      <c r="D175" s="613"/>
      <c r="E175" s="613"/>
      <c r="F175" s="613"/>
      <c r="G175" s="613"/>
      <c r="H175" s="613"/>
      <c r="I175" s="610"/>
      <c r="J175" s="611" t="s">
        <v>508</v>
      </c>
      <c r="K175" s="611"/>
    </row>
    <row r="176" spans="2:11" ht="12.75" customHeight="1">
      <c r="B176" s="619" t="s">
        <v>509</v>
      </c>
      <c r="C176" s="613"/>
      <c r="D176" s="613"/>
      <c r="E176" s="613"/>
      <c r="F176" s="613"/>
      <c r="G176" s="613"/>
      <c r="H176" s="613"/>
      <c r="I176" s="610"/>
      <c r="J176" s="611" t="s">
        <v>510</v>
      </c>
      <c r="K176" s="611"/>
    </row>
    <row r="177" spans="1:9" ht="12.75">
      <c r="A177" s="605" t="s">
        <v>511</v>
      </c>
      <c r="B177" s="596"/>
      <c r="I177" s="607"/>
    </row>
    <row r="178" spans="1:16" ht="3.75" customHeight="1">
      <c r="A178" s="607"/>
      <c r="B178" s="630"/>
      <c r="C178" s="607"/>
      <c r="D178" s="607"/>
      <c r="E178" s="607"/>
      <c r="F178" s="607"/>
      <c r="G178" s="607"/>
      <c r="H178" s="607"/>
      <c r="I178" s="607"/>
      <c r="J178" s="607"/>
      <c r="K178" s="607"/>
      <c r="L178" s="607"/>
      <c r="M178" s="607"/>
      <c r="N178" s="607"/>
      <c r="O178" s="607"/>
      <c r="P178" s="607"/>
    </row>
    <row r="179" spans="2:11" ht="12.75" customHeight="1">
      <c r="B179" s="617" t="s">
        <v>512</v>
      </c>
      <c r="C179" s="611"/>
      <c r="D179" s="611"/>
      <c r="E179" s="611"/>
      <c r="F179" s="611"/>
      <c r="G179" s="611"/>
      <c r="H179" s="611"/>
      <c r="I179" s="610"/>
      <c r="J179" s="611" t="s">
        <v>513</v>
      </c>
      <c r="K179" s="611"/>
    </row>
    <row r="180" spans="2:11" ht="12.75" customHeight="1">
      <c r="B180" s="618" t="s">
        <v>78</v>
      </c>
      <c r="C180" s="608"/>
      <c r="D180" s="608"/>
      <c r="E180" s="608"/>
      <c r="F180" s="608"/>
      <c r="G180" s="608"/>
      <c r="H180" s="608"/>
      <c r="I180" s="610"/>
      <c r="J180" s="611" t="s">
        <v>514</v>
      </c>
      <c r="K180" s="611"/>
    </row>
    <row r="181" spans="2:11" ht="12.75" customHeight="1">
      <c r="B181" s="619" t="s">
        <v>695</v>
      </c>
      <c r="C181" s="613"/>
      <c r="D181" s="613"/>
      <c r="E181" s="613"/>
      <c r="F181" s="613"/>
      <c r="G181" s="613"/>
      <c r="H181" s="613"/>
      <c r="I181" s="610"/>
      <c r="J181" s="611" t="s">
        <v>515</v>
      </c>
      <c r="K181" s="611"/>
    </row>
    <row r="182" spans="2:11" ht="12.75" customHeight="1">
      <c r="B182" s="618" t="s">
        <v>133</v>
      </c>
      <c r="C182" s="608"/>
      <c r="D182" s="608"/>
      <c r="E182" s="608"/>
      <c r="F182" s="608"/>
      <c r="G182" s="608"/>
      <c r="H182" s="608"/>
      <c r="I182" s="610"/>
      <c r="J182" s="611" t="s">
        <v>516</v>
      </c>
      <c r="K182" s="611"/>
    </row>
    <row r="183" spans="2:11" ht="12.75" customHeight="1">
      <c r="B183" s="626" t="s">
        <v>189</v>
      </c>
      <c r="C183" s="616"/>
      <c r="D183" s="616"/>
      <c r="E183" s="616"/>
      <c r="F183" s="616"/>
      <c r="G183" s="616"/>
      <c r="H183" s="616"/>
      <c r="I183" s="610"/>
      <c r="J183" s="611" t="s">
        <v>517</v>
      </c>
      <c r="K183" s="611"/>
    </row>
    <row r="184" spans="2:11" ht="12.75" customHeight="1">
      <c r="B184" s="622" t="s">
        <v>201</v>
      </c>
      <c r="C184" s="629"/>
      <c r="D184" s="629"/>
      <c r="E184" s="629"/>
      <c r="F184" s="629"/>
      <c r="G184" s="629"/>
      <c r="H184" s="629"/>
      <c r="I184" s="610"/>
      <c r="J184" s="611" t="s">
        <v>518</v>
      </c>
      <c r="K184" s="611"/>
    </row>
    <row r="185" spans="2:11" ht="12.75" customHeight="1">
      <c r="B185" s="608" t="s">
        <v>928</v>
      </c>
      <c r="C185" s="608"/>
      <c r="D185" s="608"/>
      <c r="E185" s="608"/>
      <c r="F185" s="608"/>
      <c r="G185" s="608"/>
      <c r="H185" s="608"/>
      <c r="I185" s="610"/>
      <c r="J185" s="611" t="s">
        <v>519</v>
      </c>
      <c r="K185" s="611"/>
    </row>
    <row r="186" spans="2:11" ht="12.75" customHeight="1">
      <c r="B186" s="619" t="s">
        <v>792</v>
      </c>
      <c r="C186" s="612"/>
      <c r="D186" s="612"/>
      <c r="E186" s="612"/>
      <c r="F186" s="612"/>
      <c r="G186" s="612"/>
      <c r="H186" s="612"/>
      <c r="I186" s="610"/>
      <c r="J186" s="4" t="s">
        <v>368</v>
      </c>
      <c r="K186" s="611"/>
    </row>
    <row r="187" spans="2:11" ht="12.75" customHeight="1">
      <c r="B187" s="617" t="s">
        <v>520</v>
      </c>
      <c r="C187" s="611"/>
      <c r="D187" s="611"/>
      <c r="E187" s="611"/>
      <c r="F187" s="611"/>
      <c r="G187" s="611"/>
      <c r="H187" s="611"/>
      <c r="I187" s="610"/>
      <c r="J187" s="611" t="s">
        <v>521</v>
      </c>
      <c r="K187" s="611"/>
    </row>
    <row r="188" spans="2:11" ht="12.75" customHeight="1">
      <c r="B188" s="619" t="s">
        <v>957</v>
      </c>
      <c r="C188" s="612"/>
      <c r="D188" s="612"/>
      <c r="E188" s="612"/>
      <c r="F188" s="612"/>
      <c r="G188" s="612"/>
      <c r="H188" s="612"/>
      <c r="I188" s="610"/>
      <c r="J188" s="611" t="s">
        <v>522</v>
      </c>
      <c r="K188" s="611"/>
    </row>
    <row r="189" spans="2:11" ht="12.75" customHeight="1">
      <c r="B189" s="619" t="s">
        <v>956</v>
      </c>
      <c r="C189" s="612"/>
      <c r="D189" s="612"/>
      <c r="E189" s="612"/>
      <c r="F189" s="612"/>
      <c r="G189" s="612"/>
      <c r="H189" s="612"/>
      <c r="I189" s="610"/>
      <c r="J189" s="611" t="s">
        <v>523</v>
      </c>
      <c r="K189" s="611"/>
    </row>
    <row r="190" spans="2:11" ht="12.75" customHeight="1">
      <c r="B190" s="619" t="s">
        <v>958</v>
      </c>
      <c r="C190" s="612"/>
      <c r="D190" s="612"/>
      <c r="E190" s="612"/>
      <c r="F190" s="612"/>
      <c r="G190" s="612"/>
      <c r="H190" s="612"/>
      <c r="I190" s="610"/>
      <c r="J190" s="611" t="s">
        <v>524</v>
      </c>
      <c r="K190" s="611"/>
    </row>
    <row r="191" spans="1:9" ht="12.75">
      <c r="A191" s="605" t="s">
        <v>525</v>
      </c>
      <c r="B191" s="596"/>
      <c r="I191" s="607"/>
    </row>
    <row r="192" spans="1:16" ht="3.75" customHeight="1">
      <c r="A192" s="607"/>
      <c r="B192" s="630"/>
      <c r="C192" s="607"/>
      <c r="D192" s="607"/>
      <c r="E192" s="607"/>
      <c r="F192" s="607"/>
      <c r="G192" s="607"/>
      <c r="H192" s="607"/>
      <c r="I192" s="607"/>
      <c r="J192" s="607"/>
      <c r="K192" s="607"/>
      <c r="L192" s="607"/>
      <c r="M192" s="607"/>
      <c r="N192" s="607"/>
      <c r="O192" s="607"/>
      <c r="P192" s="607"/>
    </row>
    <row r="193" spans="2:11" ht="12.75" customHeight="1">
      <c r="B193" s="618" t="s">
        <v>25</v>
      </c>
      <c r="C193" s="608"/>
      <c r="D193" s="608"/>
      <c r="E193" s="608"/>
      <c r="F193" s="608"/>
      <c r="G193" s="608"/>
      <c r="H193" s="608"/>
      <c r="I193" s="610"/>
      <c r="J193" s="4" t="s">
        <v>369</v>
      </c>
      <c r="K193" s="611"/>
    </row>
    <row r="194" spans="2:11" ht="12.75" customHeight="1">
      <c r="B194" s="618" t="s">
        <v>623</v>
      </c>
      <c r="C194" s="608"/>
      <c r="D194" s="608"/>
      <c r="E194" s="608"/>
      <c r="F194" s="608"/>
      <c r="G194" s="608"/>
      <c r="H194" s="608"/>
      <c r="I194" s="610"/>
      <c r="J194" s="611" t="s">
        <v>526</v>
      </c>
      <c r="K194" s="611"/>
    </row>
    <row r="195" spans="2:11" ht="12.75" customHeight="1">
      <c r="B195" s="617" t="s">
        <v>527</v>
      </c>
      <c r="C195" s="611"/>
      <c r="D195" s="611"/>
      <c r="E195" s="611"/>
      <c r="F195" s="611"/>
      <c r="G195" s="611"/>
      <c r="H195" s="611"/>
      <c r="I195" s="610"/>
      <c r="J195" s="611" t="s">
        <v>528</v>
      </c>
      <c r="K195" s="611"/>
    </row>
    <row r="196" spans="2:11" ht="12.75" customHeight="1">
      <c r="B196" s="617" t="s">
        <v>572</v>
      </c>
      <c r="C196" s="611"/>
      <c r="D196" s="611"/>
      <c r="E196" s="611"/>
      <c r="F196" s="611"/>
      <c r="G196" s="611"/>
      <c r="H196" s="611"/>
      <c r="I196" s="610"/>
      <c r="J196" s="4" t="s">
        <v>370</v>
      </c>
      <c r="K196" s="611"/>
    </row>
    <row r="197" spans="2:11" ht="12.75" customHeight="1">
      <c r="B197" s="611" t="s">
        <v>578</v>
      </c>
      <c r="C197" s="611"/>
      <c r="D197" s="611"/>
      <c r="E197" s="611"/>
      <c r="F197" s="611"/>
      <c r="G197" s="611"/>
      <c r="H197" s="611"/>
      <c r="I197" s="610"/>
      <c r="J197" s="4" t="s">
        <v>371</v>
      </c>
      <c r="K197" s="611"/>
    </row>
    <row r="198" spans="2:11" ht="12.75" customHeight="1">
      <c r="B198" s="622" t="s">
        <v>204</v>
      </c>
      <c r="C198" s="622"/>
      <c r="D198" s="622"/>
      <c r="E198" s="622"/>
      <c r="F198" s="622"/>
      <c r="G198" s="622"/>
      <c r="H198" s="622"/>
      <c r="I198" s="610"/>
      <c r="J198" s="611" t="s">
        <v>529</v>
      </c>
      <c r="K198" s="611"/>
    </row>
    <row r="199" spans="2:11" ht="12.75" customHeight="1">
      <c r="B199" s="617" t="s">
        <v>530</v>
      </c>
      <c r="C199" s="611"/>
      <c r="D199" s="611"/>
      <c r="E199" s="611"/>
      <c r="F199" s="611"/>
      <c r="G199" s="611"/>
      <c r="H199" s="611"/>
      <c r="I199" s="610"/>
      <c r="J199" s="4" t="s">
        <v>372</v>
      </c>
      <c r="K199" s="611"/>
    </row>
    <row r="200" spans="2:11" ht="12.75" customHeight="1">
      <c r="B200" s="617" t="s">
        <v>702</v>
      </c>
      <c r="C200" s="611"/>
      <c r="D200" s="611"/>
      <c r="E200" s="611"/>
      <c r="F200" s="611"/>
      <c r="G200" s="611"/>
      <c r="H200" s="611"/>
      <c r="I200" s="610"/>
      <c r="J200" s="611" t="s">
        <v>531</v>
      </c>
      <c r="K200" s="611"/>
    </row>
    <row r="201" spans="2:11" ht="12.75" customHeight="1">
      <c r="B201" s="617" t="s">
        <v>780</v>
      </c>
      <c r="C201" s="611"/>
      <c r="D201" s="611"/>
      <c r="E201" s="611"/>
      <c r="F201" s="611"/>
      <c r="G201" s="611"/>
      <c r="H201" s="611"/>
      <c r="I201" s="610"/>
      <c r="J201" s="4" t="s">
        <v>373</v>
      </c>
      <c r="K201" s="611"/>
    </row>
    <row r="202" spans="2:11" ht="12.75" customHeight="1">
      <c r="B202" s="618" t="s">
        <v>734</v>
      </c>
      <c r="C202" s="608"/>
      <c r="D202" s="608"/>
      <c r="E202" s="608"/>
      <c r="F202" s="608"/>
      <c r="G202" s="608"/>
      <c r="H202" s="608"/>
      <c r="I202" s="610"/>
      <c r="J202" s="4" t="s">
        <v>374</v>
      </c>
      <c r="K202" s="611"/>
    </row>
    <row r="203" spans="2:11" ht="12.75" customHeight="1">
      <c r="B203" s="619" t="s">
        <v>532</v>
      </c>
      <c r="C203" s="612"/>
      <c r="D203" s="612"/>
      <c r="E203" s="612"/>
      <c r="F203" s="612"/>
      <c r="G203" s="612"/>
      <c r="H203" s="612"/>
      <c r="I203" s="610"/>
      <c r="J203" s="611" t="s">
        <v>533</v>
      </c>
      <c r="K203" s="611"/>
    </row>
    <row r="204" spans="2:11" ht="12.75" customHeight="1">
      <c r="B204" s="617" t="s">
        <v>592</v>
      </c>
      <c r="C204" s="611"/>
      <c r="D204" s="611"/>
      <c r="E204" s="611"/>
      <c r="F204" s="611"/>
      <c r="G204" s="611"/>
      <c r="H204" s="611"/>
      <c r="I204" s="610"/>
      <c r="J204" s="611" t="s">
        <v>534</v>
      </c>
      <c r="K204" s="611"/>
    </row>
    <row r="205" spans="1:9" ht="12.75">
      <c r="A205" s="605" t="s">
        <v>535</v>
      </c>
      <c r="B205" s="596"/>
      <c r="I205" s="607"/>
    </row>
    <row r="206" spans="1:16" ht="3.75" customHeight="1">
      <c r="A206" s="607"/>
      <c r="B206" s="630"/>
      <c r="C206" s="607"/>
      <c r="D206" s="607"/>
      <c r="E206" s="607"/>
      <c r="F206" s="607"/>
      <c r="G206" s="607"/>
      <c r="H206" s="607"/>
      <c r="I206" s="607"/>
      <c r="J206" s="607"/>
      <c r="K206" s="607"/>
      <c r="L206" s="607"/>
      <c r="M206" s="607"/>
      <c r="N206" s="607"/>
      <c r="O206" s="607"/>
      <c r="P206" s="607"/>
    </row>
    <row r="207" spans="2:11" ht="12.75" customHeight="1">
      <c r="B207" s="618" t="s">
        <v>82</v>
      </c>
      <c r="C207" s="608"/>
      <c r="D207" s="608"/>
      <c r="E207" s="608"/>
      <c r="F207" s="608"/>
      <c r="G207" s="608"/>
      <c r="H207" s="608"/>
      <c r="I207" s="610"/>
      <c r="J207" s="4" t="s">
        <v>375</v>
      </c>
      <c r="K207" s="611"/>
    </row>
    <row r="208" spans="2:11" ht="12.75" customHeight="1">
      <c r="B208" s="620" t="s">
        <v>228</v>
      </c>
      <c r="C208" s="621"/>
      <c r="D208" s="621"/>
      <c r="E208" s="621"/>
      <c r="F208" s="621"/>
      <c r="G208" s="621"/>
      <c r="H208" s="621"/>
      <c r="I208" s="610"/>
      <c r="J208" s="611" t="s">
        <v>536</v>
      </c>
      <c r="K208" s="611"/>
    </row>
    <row r="209" spans="2:11" ht="12.75" customHeight="1">
      <c r="B209" s="620" t="s">
        <v>226</v>
      </c>
      <c r="C209" s="621"/>
      <c r="D209" s="621"/>
      <c r="E209" s="621"/>
      <c r="F209" s="621"/>
      <c r="G209" s="621"/>
      <c r="H209" s="621"/>
      <c r="I209" s="610"/>
      <c r="J209" s="611" t="s">
        <v>537</v>
      </c>
      <c r="K209" s="611"/>
    </row>
    <row r="210" spans="2:11" ht="12.75" customHeight="1">
      <c r="B210" s="621" t="s">
        <v>227</v>
      </c>
      <c r="C210" s="621"/>
      <c r="D210" s="621"/>
      <c r="E210" s="621"/>
      <c r="F210" s="621"/>
      <c r="G210" s="621"/>
      <c r="H210" s="621"/>
      <c r="I210" s="610"/>
      <c r="J210" s="611" t="s">
        <v>538</v>
      </c>
      <c r="K210" s="611"/>
    </row>
    <row r="211" spans="2:11" ht="12.75" customHeight="1">
      <c r="B211" s="608" t="s">
        <v>539</v>
      </c>
      <c r="C211" s="608"/>
      <c r="D211" s="608"/>
      <c r="E211" s="608"/>
      <c r="F211" s="608"/>
      <c r="G211" s="608"/>
      <c r="H211" s="608"/>
      <c r="I211" s="610"/>
      <c r="J211" s="611" t="s">
        <v>540</v>
      </c>
      <c r="K211" s="611"/>
    </row>
    <row r="212" spans="2:11" ht="12.75" customHeight="1">
      <c r="B212" s="608" t="s">
        <v>764</v>
      </c>
      <c r="C212" s="608"/>
      <c r="D212" s="608"/>
      <c r="E212" s="608"/>
      <c r="F212" s="608"/>
      <c r="G212" s="608"/>
      <c r="H212" s="608"/>
      <c r="I212" s="610"/>
      <c r="J212" s="611" t="s">
        <v>541</v>
      </c>
      <c r="K212" s="611"/>
    </row>
    <row r="213" spans="2:11" ht="12.75" customHeight="1">
      <c r="B213" s="608" t="s">
        <v>811</v>
      </c>
      <c r="C213" s="608"/>
      <c r="D213" s="608"/>
      <c r="E213" s="608"/>
      <c r="F213" s="608"/>
      <c r="G213" s="608"/>
      <c r="H213" s="608"/>
      <c r="I213" s="610"/>
      <c r="J213" s="611" t="s">
        <v>542</v>
      </c>
      <c r="K213" s="611"/>
    </row>
    <row r="214" spans="2:11" ht="12.75" customHeight="1">
      <c r="B214" s="617" t="s">
        <v>47</v>
      </c>
      <c r="C214" s="611"/>
      <c r="D214" s="611"/>
      <c r="E214" s="611"/>
      <c r="F214" s="611"/>
      <c r="G214" s="611"/>
      <c r="H214" s="611"/>
      <c r="I214" s="610"/>
      <c r="J214" s="611" t="s">
        <v>543</v>
      </c>
      <c r="K214" s="611"/>
    </row>
    <row r="215" spans="2:11" ht="12.75" customHeight="1">
      <c r="B215" s="617" t="s">
        <v>48</v>
      </c>
      <c r="C215" s="611"/>
      <c r="D215" s="611"/>
      <c r="E215" s="611"/>
      <c r="F215" s="611"/>
      <c r="G215" s="611"/>
      <c r="H215" s="611"/>
      <c r="I215" s="610"/>
      <c r="J215" s="611" t="s">
        <v>544</v>
      </c>
      <c r="K215" s="611"/>
    </row>
    <row r="216" spans="2:11" ht="12.75" customHeight="1">
      <c r="B216" s="617" t="s">
        <v>49</v>
      </c>
      <c r="C216" s="617"/>
      <c r="D216" s="617"/>
      <c r="E216" s="617"/>
      <c r="F216" s="617"/>
      <c r="G216" s="617"/>
      <c r="H216" s="617"/>
      <c r="I216" s="639"/>
      <c r="J216" s="611" t="s">
        <v>545</v>
      </c>
      <c r="K216" s="640"/>
    </row>
    <row r="217" spans="2:11" ht="12.75" customHeight="1">
      <c r="B217" s="611" t="s">
        <v>51</v>
      </c>
      <c r="C217" s="611"/>
      <c r="D217" s="611"/>
      <c r="E217" s="611"/>
      <c r="F217" s="611"/>
      <c r="G217" s="611"/>
      <c r="H217" s="611"/>
      <c r="I217" s="610"/>
      <c r="J217" s="611" t="s">
        <v>546</v>
      </c>
      <c r="K217" s="611"/>
    </row>
    <row r="218" spans="2:11" ht="12.75" customHeight="1">
      <c r="B218" s="611" t="s">
        <v>822</v>
      </c>
      <c r="C218" s="611"/>
      <c r="D218" s="611"/>
      <c r="E218" s="611"/>
      <c r="F218" s="611"/>
      <c r="G218" s="611"/>
      <c r="H218" s="611"/>
      <c r="I218" s="610"/>
      <c r="J218" s="4" t="s">
        <v>376</v>
      </c>
      <c r="K218" s="611"/>
    </row>
    <row r="219" spans="2:11" ht="12.75" customHeight="1">
      <c r="B219" s="611" t="s">
        <v>821</v>
      </c>
      <c r="C219" s="611"/>
      <c r="D219" s="611"/>
      <c r="E219" s="611"/>
      <c r="F219" s="611"/>
      <c r="G219" s="611"/>
      <c r="H219" s="611"/>
      <c r="I219" s="610"/>
      <c r="J219" s="4" t="s">
        <v>377</v>
      </c>
      <c r="K219" s="611"/>
    </row>
    <row r="220" spans="2:11" ht="12.75" customHeight="1">
      <c r="B220" s="611" t="s">
        <v>52</v>
      </c>
      <c r="C220" s="611"/>
      <c r="D220" s="611"/>
      <c r="E220" s="611"/>
      <c r="F220" s="611"/>
      <c r="G220" s="611"/>
      <c r="H220" s="611"/>
      <c r="I220" s="610"/>
      <c r="J220" s="4" t="s">
        <v>378</v>
      </c>
      <c r="K220" s="611"/>
    </row>
    <row r="221" spans="2:11" ht="12.75" customHeight="1">
      <c r="B221" s="619" t="s">
        <v>798</v>
      </c>
      <c r="C221" s="612"/>
      <c r="D221" s="612"/>
      <c r="E221" s="612"/>
      <c r="F221" s="612"/>
      <c r="G221" s="612"/>
      <c r="H221" s="612"/>
      <c r="I221" s="610"/>
      <c r="J221" s="611" t="s">
        <v>547</v>
      </c>
      <c r="K221" s="611"/>
    </row>
    <row r="222" spans="2:11" ht="12.75" customHeight="1">
      <c r="B222" s="611" t="s">
        <v>548</v>
      </c>
      <c r="C222" s="611"/>
      <c r="D222" s="611"/>
      <c r="E222" s="611"/>
      <c r="F222" s="611"/>
      <c r="G222" s="611"/>
      <c r="H222" s="611"/>
      <c r="I222" s="610"/>
      <c r="J222" s="611" t="s">
        <v>549</v>
      </c>
      <c r="K222" s="611"/>
    </row>
    <row r="223" spans="2:11" ht="12.75" customHeight="1">
      <c r="B223" s="620" t="s">
        <v>92</v>
      </c>
      <c r="C223" s="621"/>
      <c r="D223" s="621"/>
      <c r="E223" s="621"/>
      <c r="F223" s="621"/>
      <c r="G223" s="621"/>
      <c r="H223" s="621"/>
      <c r="I223" s="610"/>
      <c r="J223" s="611" t="s">
        <v>550</v>
      </c>
      <c r="K223" s="611"/>
    </row>
    <row r="224" spans="2:11" ht="12.75" customHeight="1">
      <c r="B224" s="612" t="s">
        <v>955</v>
      </c>
      <c r="C224" s="612"/>
      <c r="D224" s="612"/>
      <c r="E224" s="612"/>
      <c r="F224" s="612"/>
      <c r="G224" s="612"/>
      <c r="H224" s="612"/>
      <c r="I224" s="610"/>
      <c r="J224" s="611" t="s">
        <v>551</v>
      </c>
      <c r="K224" s="611"/>
    </row>
    <row r="225" spans="2:11" ht="12.75" customHeight="1">
      <c r="B225" s="612" t="s">
        <v>800</v>
      </c>
      <c r="C225" s="612"/>
      <c r="D225" s="612"/>
      <c r="E225" s="612"/>
      <c r="F225" s="612"/>
      <c r="G225" s="612"/>
      <c r="H225" s="612"/>
      <c r="I225" s="610"/>
      <c r="J225" s="611" t="s">
        <v>552</v>
      </c>
      <c r="K225" s="611"/>
    </row>
    <row r="226" spans="1:9" ht="12.75">
      <c r="A226" s="605" t="s">
        <v>553</v>
      </c>
      <c r="B226" s="596"/>
      <c r="I226" s="607"/>
    </row>
    <row r="227" spans="1:16" ht="3.75" customHeight="1">
      <c r="A227" s="607"/>
      <c r="B227" s="630"/>
      <c r="C227" s="607"/>
      <c r="D227" s="607"/>
      <c r="E227" s="607"/>
      <c r="F227" s="607"/>
      <c r="G227" s="607"/>
      <c r="H227" s="607"/>
      <c r="I227" s="607"/>
      <c r="J227" s="607"/>
      <c r="K227" s="607"/>
      <c r="L227" s="607"/>
      <c r="M227" s="607"/>
      <c r="N227" s="607"/>
      <c r="O227" s="607"/>
      <c r="P227" s="607"/>
    </row>
    <row r="228" spans="2:11" ht="12.75" customHeight="1">
      <c r="B228" s="611" t="s">
        <v>652</v>
      </c>
      <c r="C228" s="611"/>
      <c r="D228" s="611"/>
      <c r="E228" s="611"/>
      <c r="F228" s="611"/>
      <c r="G228" s="611"/>
      <c r="H228" s="611"/>
      <c r="I228" s="610"/>
      <c r="J228" s="4" t="s">
        <v>554</v>
      </c>
      <c r="K228" s="611"/>
    </row>
    <row r="229" spans="2:11" ht="12.75" customHeight="1">
      <c r="B229" s="612" t="s">
        <v>555</v>
      </c>
      <c r="C229" s="613"/>
      <c r="D229" s="613"/>
      <c r="E229" s="613"/>
      <c r="F229" s="613"/>
      <c r="G229" s="613"/>
      <c r="H229" s="613"/>
      <c r="I229" s="610"/>
      <c r="J229" s="611" t="s">
        <v>556</v>
      </c>
      <c r="K229" s="611"/>
    </row>
    <row r="230" spans="2:11" ht="12.75" customHeight="1">
      <c r="B230" s="612" t="s">
        <v>648</v>
      </c>
      <c r="C230" s="613"/>
      <c r="D230" s="613"/>
      <c r="E230" s="613"/>
      <c r="F230" s="613"/>
      <c r="G230" s="613"/>
      <c r="H230" s="613"/>
      <c r="I230" s="610"/>
      <c r="J230" s="611" t="s">
        <v>557</v>
      </c>
      <c r="K230" s="611"/>
    </row>
    <row r="231" spans="2:11" ht="12.75" customHeight="1">
      <c r="B231" s="612" t="s">
        <v>752</v>
      </c>
      <c r="C231" s="613"/>
      <c r="D231" s="613"/>
      <c r="E231" s="613"/>
      <c r="F231" s="613"/>
      <c r="G231" s="613"/>
      <c r="H231" s="613"/>
      <c r="I231" s="610"/>
      <c r="J231" s="611" t="s">
        <v>558</v>
      </c>
      <c r="K231" s="611"/>
    </row>
    <row r="232" spans="2:11" ht="12.75" customHeight="1">
      <c r="B232" s="617" t="s">
        <v>559</v>
      </c>
      <c r="C232" s="611"/>
      <c r="D232" s="611"/>
      <c r="E232" s="611"/>
      <c r="F232" s="611"/>
      <c r="G232" s="611"/>
      <c r="H232" s="611"/>
      <c r="I232" s="610"/>
      <c r="J232" s="611" t="s">
        <v>560</v>
      </c>
      <c r="K232" s="611"/>
    </row>
    <row r="233" spans="2:11" ht="12.75" customHeight="1">
      <c r="B233" s="617" t="s">
        <v>561</v>
      </c>
      <c r="C233" s="611"/>
      <c r="D233" s="611"/>
      <c r="E233" s="611"/>
      <c r="F233" s="611"/>
      <c r="G233" s="611"/>
      <c r="H233" s="611"/>
      <c r="I233" s="610"/>
      <c r="J233" s="4" t="s">
        <v>379</v>
      </c>
      <c r="K233" s="611"/>
    </row>
    <row r="234" spans="2:11" ht="12.75" customHeight="1">
      <c r="B234" s="619" t="s">
        <v>562</v>
      </c>
      <c r="C234" s="613"/>
      <c r="D234" s="613"/>
      <c r="E234" s="613"/>
      <c r="F234" s="613"/>
      <c r="G234" s="613"/>
      <c r="H234" s="613"/>
      <c r="I234" s="610"/>
      <c r="J234" s="611" t="s">
        <v>563</v>
      </c>
      <c r="K234" s="611"/>
    </row>
    <row r="235" spans="2:11" ht="12.75" customHeight="1">
      <c r="B235" s="618" t="s">
        <v>110</v>
      </c>
      <c r="C235" s="608"/>
      <c r="D235" s="608"/>
      <c r="E235" s="608"/>
      <c r="F235" s="608"/>
      <c r="G235" s="608"/>
      <c r="H235" s="608"/>
      <c r="I235" s="610"/>
      <c r="J235" s="611" t="s">
        <v>564</v>
      </c>
      <c r="K235" s="611"/>
    </row>
    <row r="236" spans="2:11" ht="12.75" customHeight="1">
      <c r="B236" s="618" t="s">
        <v>35</v>
      </c>
      <c r="C236" s="608"/>
      <c r="D236" s="608"/>
      <c r="E236" s="608"/>
      <c r="F236" s="608"/>
      <c r="G236" s="608"/>
      <c r="H236" s="608"/>
      <c r="I236" s="610"/>
      <c r="J236" s="611" t="s">
        <v>565</v>
      </c>
      <c r="K236" s="611"/>
    </row>
    <row r="237" spans="1:9" ht="12.75">
      <c r="A237" s="605" t="s">
        <v>566</v>
      </c>
      <c r="B237" s="596"/>
      <c r="I237" s="607"/>
    </row>
    <row r="238" spans="1:16" ht="3.75" customHeight="1">
      <c r="A238" s="607"/>
      <c r="B238" s="630"/>
      <c r="C238" s="607"/>
      <c r="D238" s="607"/>
      <c r="E238" s="607"/>
      <c r="F238" s="607"/>
      <c r="G238" s="607"/>
      <c r="H238" s="607"/>
      <c r="I238" s="607"/>
      <c r="J238" s="607"/>
      <c r="K238" s="607"/>
      <c r="L238" s="607"/>
      <c r="M238" s="607"/>
      <c r="N238" s="607"/>
      <c r="O238" s="607"/>
      <c r="P238" s="607"/>
    </row>
    <row r="239" spans="2:11" ht="12.75" customHeight="1">
      <c r="B239" s="617" t="s">
        <v>624</v>
      </c>
      <c r="C239" s="611"/>
      <c r="D239" s="611"/>
      <c r="E239" s="611"/>
      <c r="F239" s="611"/>
      <c r="G239" s="611"/>
      <c r="H239" s="611"/>
      <c r="I239" s="610"/>
      <c r="J239" s="611" t="s">
        <v>567</v>
      </c>
      <c r="K239" s="611"/>
    </row>
    <row r="240" spans="2:11" ht="12.75" customHeight="1">
      <c r="B240" s="619" t="s">
        <v>598</v>
      </c>
      <c r="C240" s="612"/>
      <c r="D240" s="612"/>
      <c r="E240" s="612"/>
      <c r="F240" s="612"/>
      <c r="G240" s="612"/>
      <c r="H240" s="612"/>
      <c r="I240" s="610"/>
      <c r="J240" s="4" t="s">
        <v>380</v>
      </c>
      <c r="K240" s="611"/>
    </row>
    <row r="241" spans="1:9" ht="12.75">
      <c r="A241" s="605" t="s">
        <v>568</v>
      </c>
      <c r="B241" s="596"/>
      <c r="I241" s="607"/>
    </row>
    <row r="242" spans="1:16" ht="3.75" customHeight="1">
      <c r="A242" s="607"/>
      <c r="B242" s="630"/>
      <c r="C242" s="607"/>
      <c r="D242" s="607"/>
      <c r="E242" s="607"/>
      <c r="F242" s="607"/>
      <c r="G242" s="607"/>
      <c r="H242" s="607"/>
      <c r="I242" s="607"/>
      <c r="J242" s="607"/>
      <c r="K242" s="607"/>
      <c r="L242" s="607"/>
      <c r="M242" s="607"/>
      <c r="N242" s="607"/>
      <c r="O242" s="607"/>
      <c r="P242" s="607"/>
    </row>
    <row r="243" spans="2:11" ht="12.75" customHeight="1">
      <c r="B243" s="617" t="s">
        <v>569</v>
      </c>
      <c r="C243" s="611"/>
      <c r="D243" s="611"/>
      <c r="E243" s="611"/>
      <c r="F243" s="611"/>
      <c r="G243" s="611"/>
      <c r="H243" s="611"/>
      <c r="I243" s="610"/>
      <c r="J243" s="4" t="s">
        <v>381</v>
      </c>
      <c r="K243" s="611"/>
    </row>
    <row r="244" spans="2:11" ht="12.75" customHeight="1">
      <c r="B244" s="617" t="s">
        <v>716</v>
      </c>
      <c r="C244" s="611"/>
      <c r="D244" s="611"/>
      <c r="E244" s="611"/>
      <c r="F244" s="611"/>
      <c r="G244" s="611"/>
      <c r="H244" s="611"/>
      <c r="I244" s="610"/>
      <c r="J244" s="4" t="s">
        <v>382</v>
      </c>
      <c r="K244" s="611"/>
    </row>
    <row r="245" spans="2:11" ht="12.75" customHeight="1">
      <c r="B245" s="611" t="s">
        <v>611</v>
      </c>
      <c r="C245" s="611"/>
      <c r="D245" s="611"/>
      <c r="E245" s="611"/>
      <c r="F245" s="611"/>
      <c r="G245" s="611"/>
      <c r="H245" s="611"/>
      <c r="I245" s="610"/>
      <c r="J245" s="4" t="s">
        <v>383</v>
      </c>
      <c r="K245" s="611"/>
    </row>
    <row r="246" spans="1:9" ht="12.75">
      <c r="A246" s="605" t="s">
        <v>570</v>
      </c>
      <c r="B246" s="596"/>
      <c r="I246" s="607"/>
    </row>
    <row r="247" spans="1:16" ht="3.75" customHeight="1">
      <c r="A247" s="607"/>
      <c r="B247" s="630"/>
      <c r="C247" s="607"/>
      <c r="D247" s="607"/>
      <c r="E247" s="607"/>
      <c r="F247" s="607"/>
      <c r="G247" s="607"/>
      <c r="H247" s="607"/>
      <c r="I247" s="607"/>
      <c r="J247" s="607"/>
      <c r="K247" s="607"/>
      <c r="L247" s="607"/>
      <c r="M247" s="607"/>
      <c r="N247" s="607"/>
      <c r="O247" s="607"/>
      <c r="P247" s="607"/>
    </row>
    <row r="248" spans="2:11" ht="12.75" customHeight="1">
      <c r="B248" s="622" t="s">
        <v>16</v>
      </c>
      <c r="C248" s="622"/>
      <c r="D248" s="622"/>
      <c r="E248" s="622"/>
      <c r="F248" s="622"/>
      <c r="G248" s="622"/>
      <c r="H248" s="622"/>
      <c r="I248" s="610"/>
      <c r="J248" s="611" t="s">
        <v>571</v>
      </c>
      <c r="K248" s="611"/>
    </row>
    <row r="249" spans="2:11" ht="12.75">
      <c r="B249" s="611"/>
      <c r="C249" s="611"/>
      <c r="D249" s="611"/>
      <c r="E249" s="611"/>
      <c r="F249" s="611"/>
      <c r="G249" s="611"/>
      <c r="H249" s="611"/>
      <c r="I249" s="611"/>
      <c r="J249" s="611"/>
      <c r="K249" s="611"/>
    </row>
    <row r="250" spans="2:11" ht="12.75">
      <c r="B250" s="611"/>
      <c r="C250" s="611"/>
      <c r="D250" s="611"/>
      <c r="E250" s="611"/>
      <c r="F250" s="611"/>
      <c r="G250" s="611"/>
      <c r="H250" s="611"/>
      <c r="I250" s="611"/>
      <c r="J250" s="611"/>
      <c r="K250" s="611"/>
    </row>
    <row r="251" spans="2:11" ht="12.75">
      <c r="B251" s="611"/>
      <c r="C251" s="611"/>
      <c r="D251" s="611"/>
      <c r="E251" s="611"/>
      <c r="F251" s="611"/>
      <c r="G251" s="611"/>
      <c r="H251" s="611"/>
      <c r="I251" s="611"/>
      <c r="J251" s="611"/>
      <c r="K251" s="611"/>
    </row>
    <row r="252" spans="2:11" ht="12.75">
      <c r="B252" s="611"/>
      <c r="C252" s="611"/>
      <c r="D252" s="611"/>
      <c r="E252" s="611"/>
      <c r="F252" s="611"/>
      <c r="G252" s="611"/>
      <c r="H252" s="611"/>
      <c r="I252" s="611"/>
      <c r="J252" s="611"/>
      <c r="K252" s="611"/>
    </row>
    <row r="253" spans="2:11" ht="12.75">
      <c r="B253" s="611"/>
      <c r="C253" s="611"/>
      <c r="D253" s="611"/>
      <c r="E253" s="611"/>
      <c r="F253" s="611"/>
      <c r="G253" s="611"/>
      <c r="H253" s="611"/>
      <c r="I253" s="611"/>
      <c r="J253" s="611"/>
      <c r="K253" s="611"/>
    </row>
    <row r="254" spans="2:11" ht="12.75">
      <c r="B254" s="611"/>
      <c r="C254" s="611"/>
      <c r="D254" s="611"/>
      <c r="E254" s="611"/>
      <c r="F254" s="611"/>
      <c r="G254" s="611"/>
      <c r="H254" s="611"/>
      <c r="I254" s="611"/>
      <c r="J254" s="611"/>
      <c r="K254" s="611"/>
    </row>
    <row r="255" spans="2:11" ht="12.75">
      <c r="B255" s="611"/>
      <c r="C255" s="611"/>
      <c r="D255" s="611"/>
      <c r="E255" s="611"/>
      <c r="F255" s="611"/>
      <c r="G255" s="611"/>
      <c r="H255" s="611"/>
      <c r="I255" s="611"/>
      <c r="J255" s="611"/>
      <c r="K255" s="611"/>
    </row>
    <row r="256" spans="2:11" ht="12.75">
      <c r="B256" s="611"/>
      <c r="C256" s="611"/>
      <c r="D256" s="611"/>
      <c r="E256" s="611"/>
      <c r="F256" s="611"/>
      <c r="G256" s="611"/>
      <c r="H256" s="611"/>
      <c r="I256" s="611"/>
      <c r="J256" s="611"/>
      <c r="K256" s="611"/>
    </row>
    <row r="257" spans="2:11" ht="12.75">
      <c r="B257" s="611"/>
      <c r="C257" s="611"/>
      <c r="D257" s="611"/>
      <c r="E257" s="611"/>
      <c r="F257" s="611"/>
      <c r="G257" s="611"/>
      <c r="H257" s="611"/>
      <c r="I257" s="611"/>
      <c r="J257" s="611"/>
      <c r="K257" s="611"/>
    </row>
    <row r="258" spans="2:11" ht="12.75">
      <c r="B258" s="611"/>
      <c r="C258" s="611"/>
      <c r="D258" s="611"/>
      <c r="E258" s="611"/>
      <c r="F258" s="611"/>
      <c r="G258" s="611"/>
      <c r="H258" s="611"/>
      <c r="I258" s="611"/>
      <c r="J258" s="611"/>
      <c r="K258" s="611"/>
    </row>
    <row r="259" spans="2:11" ht="12.75">
      <c r="B259" s="611"/>
      <c r="C259" s="611"/>
      <c r="D259" s="611"/>
      <c r="E259" s="611"/>
      <c r="F259" s="611"/>
      <c r="G259" s="611"/>
      <c r="H259" s="611"/>
      <c r="I259" s="611"/>
      <c r="J259" s="611"/>
      <c r="K259" s="611"/>
    </row>
    <row r="260" spans="2:11" ht="12.75">
      <c r="B260" s="611"/>
      <c r="C260" s="611"/>
      <c r="D260" s="611"/>
      <c r="E260" s="611"/>
      <c r="F260" s="611"/>
      <c r="G260" s="611"/>
      <c r="H260" s="611"/>
      <c r="I260" s="611"/>
      <c r="J260" s="611"/>
      <c r="K260" s="611"/>
    </row>
    <row r="261" spans="2:11" ht="12.75">
      <c r="B261" s="611"/>
      <c r="C261" s="611"/>
      <c r="D261" s="611"/>
      <c r="E261" s="611"/>
      <c r="F261" s="611"/>
      <c r="G261" s="611"/>
      <c r="H261" s="611"/>
      <c r="I261" s="611"/>
      <c r="J261" s="611"/>
      <c r="K261" s="611"/>
    </row>
    <row r="262" spans="2:11" ht="12.75">
      <c r="B262" s="611"/>
      <c r="C262" s="611"/>
      <c r="D262" s="611"/>
      <c r="E262" s="611"/>
      <c r="F262" s="611"/>
      <c r="G262" s="611"/>
      <c r="H262" s="611"/>
      <c r="I262" s="611"/>
      <c r="J262" s="611"/>
      <c r="K262" s="611"/>
    </row>
    <row r="263" spans="2:11" ht="12.75">
      <c r="B263" s="611"/>
      <c r="C263" s="611"/>
      <c r="D263" s="611"/>
      <c r="E263" s="611"/>
      <c r="F263" s="611"/>
      <c r="G263" s="611"/>
      <c r="H263" s="611"/>
      <c r="I263" s="611"/>
      <c r="J263" s="611"/>
      <c r="K263" s="611"/>
    </row>
    <row r="264" spans="2:11" ht="12.75">
      <c r="B264" s="611"/>
      <c r="C264" s="611"/>
      <c r="D264" s="611"/>
      <c r="E264" s="611"/>
      <c r="F264" s="611"/>
      <c r="G264" s="611"/>
      <c r="H264" s="611"/>
      <c r="I264" s="611"/>
      <c r="J264" s="611"/>
      <c r="K264" s="611"/>
    </row>
    <row r="265" spans="2:11" ht="12.75">
      <c r="B265" s="611"/>
      <c r="C265" s="611"/>
      <c r="D265" s="611"/>
      <c r="E265" s="611"/>
      <c r="F265" s="611"/>
      <c r="G265" s="611"/>
      <c r="H265" s="611"/>
      <c r="I265" s="611"/>
      <c r="J265" s="611"/>
      <c r="K265" s="611"/>
    </row>
    <row r="266" spans="2:11" ht="12.75">
      <c r="B266" s="611"/>
      <c r="C266" s="611"/>
      <c r="D266" s="611"/>
      <c r="E266" s="611"/>
      <c r="F266" s="611"/>
      <c r="G266" s="611"/>
      <c r="H266" s="611"/>
      <c r="I266" s="611"/>
      <c r="J266" s="611"/>
      <c r="K266" s="611"/>
    </row>
    <row r="267" spans="2:11" ht="12.75">
      <c r="B267" s="611"/>
      <c r="C267" s="611"/>
      <c r="D267" s="611"/>
      <c r="E267" s="611"/>
      <c r="F267" s="611"/>
      <c r="G267" s="611"/>
      <c r="H267" s="611"/>
      <c r="I267" s="611"/>
      <c r="J267" s="611"/>
      <c r="K267" s="611"/>
    </row>
    <row r="268" spans="2:11" ht="12.75">
      <c r="B268" s="611"/>
      <c r="C268" s="611"/>
      <c r="D268" s="611"/>
      <c r="E268" s="611"/>
      <c r="F268" s="611"/>
      <c r="G268" s="611"/>
      <c r="H268" s="611"/>
      <c r="I268" s="611"/>
      <c r="J268" s="611"/>
      <c r="K268" s="611"/>
    </row>
    <row r="269" spans="2:11" ht="12.75">
      <c r="B269" s="611"/>
      <c r="C269" s="611"/>
      <c r="D269" s="611"/>
      <c r="E269" s="611"/>
      <c r="F269" s="611"/>
      <c r="G269" s="611"/>
      <c r="H269" s="611"/>
      <c r="I269" s="611"/>
      <c r="J269" s="611"/>
      <c r="K269" s="611"/>
    </row>
    <row r="270" spans="2:11" ht="12.75">
      <c r="B270" s="611"/>
      <c r="C270" s="611"/>
      <c r="D270" s="611"/>
      <c r="E270" s="611"/>
      <c r="F270" s="611"/>
      <c r="G270" s="611"/>
      <c r="H270" s="611"/>
      <c r="I270" s="611"/>
      <c r="J270" s="611"/>
      <c r="K270" s="611"/>
    </row>
    <row r="271" spans="2:11" ht="12.75">
      <c r="B271" s="611"/>
      <c r="C271" s="611"/>
      <c r="D271" s="611"/>
      <c r="E271" s="611"/>
      <c r="F271" s="611"/>
      <c r="G271" s="611"/>
      <c r="H271" s="611"/>
      <c r="I271" s="611"/>
      <c r="J271" s="611"/>
      <c r="K271" s="611"/>
    </row>
    <row r="272" spans="2:11" ht="12.75">
      <c r="B272" s="611"/>
      <c r="C272" s="611"/>
      <c r="D272" s="611"/>
      <c r="E272" s="611"/>
      <c r="F272" s="611"/>
      <c r="G272" s="611"/>
      <c r="H272" s="611"/>
      <c r="I272" s="611"/>
      <c r="J272" s="611"/>
      <c r="K272" s="611"/>
    </row>
    <row r="273" spans="2:11" ht="12.75">
      <c r="B273" s="611"/>
      <c r="C273" s="611"/>
      <c r="D273" s="611"/>
      <c r="E273" s="611"/>
      <c r="F273" s="611"/>
      <c r="G273" s="611"/>
      <c r="H273" s="611"/>
      <c r="I273" s="611"/>
      <c r="J273" s="611"/>
      <c r="K273" s="611"/>
    </row>
    <row r="274" spans="2:11" ht="12.75">
      <c r="B274" s="611"/>
      <c r="C274" s="611"/>
      <c r="D274" s="611"/>
      <c r="E274" s="611"/>
      <c r="F274" s="611"/>
      <c r="G274" s="611"/>
      <c r="H274" s="611"/>
      <c r="I274" s="611"/>
      <c r="J274" s="611"/>
      <c r="K274" s="611"/>
    </row>
    <row r="275" spans="2:11" ht="12.75">
      <c r="B275" s="611"/>
      <c r="C275" s="611"/>
      <c r="D275" s="611"/>
      <c r="E275" s="611"/>
      <c r="F275" s="611"/>
      <c r="G275" s="611"/>
      <c r="H275" s="611"/>
      <c r="I275" s="611"/>
      <c r="J275" s="611"/>
      <c r="K275" s="611"/>
    </row>
    <row r="276" spans="2:11" ht="12.75">
      <c r="B276" s="611"/>
      <c r="C276" s="611"/>
      <c r="D276" s="611"/>
      <c r="E276" s="611"/>
      <c r="F276" s="611"/>
      <c r="G276" s="611"/>
      <c r="H276" s="611"/>
      <c r="I276" s="611"/>
      <c r="J276" s="611"/>
      <c r="K276" s="611"/>
    </row>
    <row r="277" spans="2:11" ht="12.75">
      <c r="B277" s="611"/>
      <c r="C277" s="611"/>
      <c r="D277" s="611"/>
      <c r="E277" s="611"/>
      <c r="F277" s="611"/>
      <c r="G277" s="611"/>
      <c r="H277" s="611"/>
      <c r="I277" s="611"/>
      <c r="J277" s="611"/>
      <c r="K277" s="611"/>
    </row>
    <row r="278" spans="2:11" ht="12.75">
      <c r="B278" s="611"/>
      <c r="C278" s="611"/>
      <c r="D278" s="611"/>
      <c r="E278" s="611"/>
      <c r="F278" s="611"/>
      <c r="G278" s="611"/>
      <c r="H278" s="611"/>
      <c r="I278" s="611"/>
      <c r="J278" s="611"/>
      <c r="K278" s="611"/>
    </row>
    <row r="279" spans="2:11" ht="12.75">
      <c r="B279" s="611"/>
      <c r="C279" s="611"/>
      <c r="D279" s="611"/>
      <c r="E279" s="611"/>
      <c r="F279" s="611"/>
      <c r="G279" s="611"/>
      <c r="H279" s="611"/>
      <c r="I279" s="611"/>
      <c r="J279" s="611"/>
      <c r="K279" s="611"/>
    </row>
    <row r="280" spans="2:11" ht="12.75">
      <c r="B280" s="611"/>
      <c r="C280" s="611"/>
      <c r="D280" s="611"/>
      <c r="E280" s="611"/>
      <c r="F280" s="611"/>
      <c r="G280" s="611"/>
      <c r="H280" s="611"/>
      <c r="I280" s="611"/>
      <c r="J280" s="611"/>
      <c r="K280" s="611"/>
    </row>
    <row r="281" spans="2:11" ht="12.75">
      <c r="B281" s="611"/>
      <c r="C281" s="611"/>
      <c r="D281" s="611"/>
      <c r="E281" s="611"/>
      <c r="F281" s="611"/>
      <c r="G281" s="611"/>
      <c r="H281" s="611"/>
      <c r="I281" s="611"/>
      <c r="J281" s="611"/>
      <c r="K281" s="611"/>
    </row>
    <row r="282" spans="2:11" ht="12.75">
      <c r="B282" s="611"/>
      <c r="C282" s="611"/>
      <c r="D282" s="611"/>
      <c r="E282" s="611"/>
      <c r="F282" s="611"/>
      <c r="G282" s="611"/>
      <c r="H282" s="611"/>
      <c r="I282" s="611"/>
      <c r="J282" s="611"/>
      <c r="K282" s="611"/>
    </row>
    <row r="283" spans="2:11" ht="12.75">
      <c r="B283" s="611"/>
      <c r="C283" s="611"/>
      <c r="D283" s="611"/>
      <c r="E283" s="611"/>
      <c r="F283" s="611"/>
      <c r="G283" s="611"/>
      <c r="H283" s="611"/>
      <c r="I283" s="611"/>
      <c r="J283" s="611"/>
      <c r="K283" s="611"/>
    </row>
    <row r="284" spans="2:11" ht="12.75">
      <c r="B284" s="611"/>
      <c r="C284" s="611"/>
      <c r="D284" s="611"/>
      <c r="E284" s="611"/>
      <c r="F284" s="611"/>
      <c r="G284" s="611"/>
      <c r="H284" s="611"/>
      <c r="I284" s="611"/>
      <c r="J284" s="611"/>
      <c r="K284" s="611"/>
    </row>
    <row r="285" spans="2:11" ht="12.75">
      <c r="B285" s="611"/>
      <c r="C285" s="611"/>
      <c r="D285" s="611"/>
      <c r="E285" s="611"/>
      <c r="F285" s="611"/>
      <c r="G285" s="611"/>
      <c r="H285" s="611"/>
      <c r="I285" s="611"/>
      <c r="J285" s="611"/>
      <c r="K285" s="611"/>
    </row>
    <row r="286" spans="2:11" ht="12.75">
      <c r="B286" s="611"/>
      <c r="C286" s="611"/>
      <c r="D286" s="611"/>
      <c r="E286" s="611"/>
      <c r="F286" s="611"/>
      <c r="G286" s="611"/>
      <c r="H286" s="611"/>
      <c r="I286" s="611"/>
      <c r="J286" s="611"/>
      <c r="K286" s="611"/>
    </row>
    <row r="287" spans="2:11" ht="12.75">
      <c r="B287" s="611"/>
      <c r="C287" s="611"/>
      <c r="D287" s="611"/>
      <c r="E287" s="611"/>
      <c r="F287" s="611"/>
      <c r="G287" s="611"/>
      <c r="H287" s="611"/>
      <c r="I287" s="611"/>
      <c r="J287" s="611"/>
      <c r="K287" s="611"/>
    </row>
    <row r="288" spans="2:11" ht="12.75">
      <c r="B288" s="611"/>
      <c r="C288" s="611"/>
      <c r="D288" s="611"/>
      <c r="E288" s="611"/>
      <c r="F288" s="611"/>
      <c r="G288" s="611"/>
      <c r="H288" s="611"/>
      <c r="I288" s="611"/>
      <c r="J288" s="611"/>
      <c r="K288" s="611"/>
    </row>
    <row r="289" spans="2:11" ht="12.75">
      <c r="B289" s="611"/>
      <c r="C289" s="611"/>
      <c r="D289" s="611"/>
      <c r="E289" s="611"/>
      <c r="F289" s="611"/>
      <c r="G289" s="611"/>
      <c r="H289" s="611"/>
      <c r="I289" s="611"/>
      <c r="J289" s="611"/>
      <c r="K289" s="611"/>
    </row>
    <row r="290" spans="2:11" ht="12.75">
      <c r="B290" s="611"/>
      <c r="C290" s="611"/>
      <c r="D290" s="611"/>
      <c r="E290" s="611"/>
      <c r="F290" s="611"/>
      <c r="G290" s="611"/>
      <c r="H290" s="611"/>
      <c r="I290" s="611"/>
      <c r="J290" s="611"/>
      <c r="K290" s="611"/>
    </row>
    <row r="291" spans="2:11" ht="12.75">
      <c r="B291" s="611"/>
      <c r="C291" s="611"/>
      <c r="D291" s="611"/>
      <c r="E291" s="611"/>
      <c r="F291" s="611"/>
      <c r="G291" s="611"/>
      <c r="H291" s="611"/>
      <c r="I291" s="611"/>
      <c r="J291" s="611"/>
      <c r="K291" s="611"/>
    </row>
    <row r="292" spans="2:11" ht="12.75">
      <c r="B292" s="611"/>
      <c r="C292" s="611"/>
      <c r="D292" s="611"/>
      <c r="E292" s="611"/>
      <c r="F292" s="611"/>
      <c r="G292" s="611"/>
      <c r="H292" s="611"/>
      <c r="I292" s="611"/>
      <c r="J292" s="611"/>
      <c r="K292" s="611"/>
    </row>
    <row r="293" spans="2:11" ht="12.75">
      <c r="B293" s="611"/>
      <c r="C293" s="611"/>
      <c r="D293" s="611"/>
      <c r="E293" s="611"/>
      <c r="F293" s="611"/>
      <c r="G293" s="611"/>
      <c r="H293" s="611"/>
      <c r="I293" s="611"/>
      <c r="J293" s="611"/>
      <c r="K293" s="611"/>
    </row>
    <row r="294" spans="2:11" ht="12.75">
      <c r="B294" s="611"/>
      <c r="C294" s="611"/>
      <c r="D294" s="611"/>
      <c r="E294" s="611"/>
      <c r="F294" s="611"/>
      <c r="G294" s="611"/>
      <c r="H294" s="611"/>
      <c r="I294" s="611"/>
      <c r="J294" s="611"/>
      <c r="K294" s="611"/>
    </row>
    <row r="295" spans="2:11" ht="12.75">
      <c r="B295" s="611"/>
      <c r="C295" s="611"/>
      <c r="D295" s="611"/>
      <c r="E295" s="611"/>
      <c r="F295" s="611"/>
      <c r="G295" s="611"/>
      <c r="H295" s="611"/>
      <c r="I295" s="611"/>
      <c r="J295" s="611"/>
      <c r="K295" s="611"/>
    </row>
    <row r="296" spans="2:11" ht="12.75">
      <c r="B296" s="611"/>
      <c r="C296" s="611"/>
      <c r="D296" s="611"/>
      <c r="E296" s="611"/>
      <c r="F296" s="611"/>
      <c r="G296" s="611"/>
      <c r="H296" s="611"/>
      <c r="I296" s="611"/>
      <c r="J296" s="611"/>
      <c r="K296" s="611"/>
    </row>
    <row r="297" spans="2:11" ht="12.75">
      <c r="B297" s="611"/>
      <c r="C297" s="611"/>
      <c r="D297" s="611"/>
      <c r="E297" s="611"/>
      <c r="F297" s="611"/>
      <c r="G297" s="611"/>
      <c r="H297" s="611"/>
      <c r="I297" s="611"/>
      <c r="J297" s="611"/>
      <c r="K297" s="611"/>
    </row>
    <row r="298" spans="2:11" ht="12.75">
      <c r="B298" s="611"/>
      <c r="C298" s="611"/>
      <c r="D298" s="611"/>
      <c r="E298" s="611"/>
      <c r="F298" s="611"/>
      <c r="G298" s="611"/>
      <c r="H298" s="611"/>
      <c r="I298" s="611"/>
      <c r="J298" s="611"/>
      <c r="K298" s="611"/>
    </row>
    <row r="299" spans="2:11" ht="12.75">
      <c r="B299" s="611"/>
      <c r="C299" s="611"/>
      <c r="D299" s="611"/>
      <c r="E299" s="611"/>
      <c r="F299" s="611"/>
      <c r="G299" s="611"/>
      <c r="H299" s="611"/>
      <c r="I299" s="611"/>
      <c r="J299" s="611"/>
      <c r="K299" s="611"/>
    </row>
    <row r="300" spans="2:11" ht="12.75">
      <c r="B300" s="611"/>
      <c r="C300" s="611"/>
      <c r="D300" s="611"/>
      <c r="E300" s="611"/>
      <c r="F300" s="611"/>
      <c r="G300" s="611"/>
      <c r="H300" s="611"/>
      <c r="I300" s="611"/>
      <c r="J300" s="611"/>
      <c r="K300" s="611"/>
    </row>
    <row r="301" spans="2:11" ht="12.75">
      <c r="B301" s="611"/>
      <c r="C301" s="611"/>
      <c r="D301" s="611"/>
      <c r="E301" s="611"/>
      <c r="F301" s="611"/>
      <c r="G301" s="611"/>
      <c r="H301" s="611"/>
      <c r="I301" s="611"/>
      <c r="J301" s="611"/>
      <c r="K301" s="611"/>
    </row>
    <row r="302" spans="2:11" ht="12.75">
      <c r="B302" s="611"/>
      <c r="C302" s="611"/>
      <c r="D302" s="611"/>
      <c r="E302" s="611"/>
      <c r="F302" s="611"/>
      <c r="G302" s="611"/>
      <c r="H302" s="611"/>
      <c r="I302" s="611"/>
      <c r="J302" s="611"/>
      <c r="K302" s="611"/>
    </row>
    <row r="303" spans="2:11" ht="12.75">
      <c r="B303" s="611"/>
      <c r="C303" s="611"/>
      <c r="D303" s="611"/>
      <c r="E303" s="611"/>
      <c r="F303" s="611"/>
      <c r="G303" s="611"/>
      <c r="H303" s="611"/>
      <c r="I303" s="611"/>
      <c r="J303" s="611"/>
      <c r="K303" s="611"/>
    </row>
    <row r="304" spans="2:11" ht="12.75">
      <c r="B304" s="611"/>
      <c r="C304" s="611"/>
      <c r="D304" s="611"/>
      <c r="E304" s="611"/>
      <c r="F304" s="611"/>
      <c r="G304" s="611"/>
      <c r="H304" s="611"/>
      <c r="I304" s="611"/>
      <c r="J304" s="611"/>
      <c r="K304" s="611"/>
    </row>
    <row r="305" spans="2:11" ht="12.75">
      <c r="B305" s="611"/>
      <c r="C305" s="611"/>
      <c r="D305" s="611"/>
      <c r="E305" s="611"/>
      <c r="F305" s="611"/>
      <c r="G305" s="611"/>
      <c r="H305" s="611"/>
      <c r="I305" s="611"/>
      <c r="J305" s="611"/>
      <c r="K305" s="611"/>
    </row>
    <row r="306" spans="2:11" ht="12.75">
      <c r="B306" s="611"/>
      <c r="C306" s="611"/>
      <c r="D306" s="611"/>
      <c r="E306" s="611"/>
      <c r="F306" s="611"/>
      <c r="G306" s="611"/>
      <c r="H306" s="611"/>
      <c r="I306" s="611"/>
      <c r="J306" s="611"/>
      <c r="K306" s="611"/>
    </row>
    <row r="307" spans="2:11" ht="12.75">
      <c r="B307" s="611"/>
      <c r="C307" s="611"/>
      <c r="D307" s="611"/>
      <c r="E307" s="611"/>
      <c r="F307" s="611"/>
      <c r="G307" s="611"/>
      <c r="H307" s="611"/>
      <c r="I307" s="611"/>
      <c r="J307" s="611"/>
      <c r="K307" s="611"/>
    </row>
    <row r="308" spans="2:11" ht="12.75">
      <c r="B308" s="611"/>
      <c r="C308" s="611"/>
      <c r="D308" s="611"/>
      <c r="E308" s="611"/>
      <c r="F308" s="611"/>
      <c r="G308" s="611"/>
      <c r="H308" s="611"/>
      <c r="I308" s="611"/>
      <c r="J308" s="611"/>
      <c r="K308" s="611"/>
    </row>
    <row r="309" spans="2:11" ht="12.75">
      <c r="B309" s="611"/>
      <c r="C309" s="611"/>
      <c r="D309" s="611"/>
      <c r="E309" s="611"/>
      <c r="F309" s="611"/>
      <c r="G309" s="611"/>
      <c r="H309" s="611"/>
      <c r="I309" s="611"/>
      <c r="J309" s="611"/>
      <c r="K309" s="611"/>
    </row>
    <row r="310" spans="2:11" ht="12.75">
      <c r="B310" s="611"/>
      <c r="C310" s="611"/>
      <c r="D310" s="611"/>
      <c r="E310" s="611"/>
      <c r="F310" s="611"/>
      <c r="G310" s="611"/>
      <c r="H310" s="611"/>
      <c r="I310" s="611"/>
      <c r="J310" s="611"/>
      <c r="K310" s="611"/>
    </row>
    <row r="311" spans="2:11" ht="12.75">
      <c r="B311" s="611"/>
      <c r="C311" s="611"/>
      <c r="D311" s="611"/>
      <c r="E311" s="611"/>
      <c r="F311" s="611"/>
      <c r="G311" s="611"/>
      <c r="H311" s="611"/>
      <c r="I311" s="611"/>
      <c r="J311" s="611"/>
      <c r="K311" s="611"/>
    </row>
    <row r="312" spans="2:11" ht="12.75">
      <c r="B312" s="611"/>
      <c r="C312" s="611"/>
      <c r="D312" s="611"/>
      <c r="E312" s="611"/>
      <c r="F312" s="611"/>
      <c r="G312" s="611"/>
      <c r="H312" s="611"/>
      <c r="I312" s="611"/>
      <c r="J312" s="611"/>
      <c r="K312" s="611"/>
    </row>
    <row r="313" spans="2:11" ht="12.75">
      <c r="B313" s="611"/>
      <c r="C313" s="611"/>
      <c r="D313" s="611"/>
      <c r="E313" s="611"/>
      <c r="F313" s="611"/>
      <c r="G313" s="611"/>
      <c r="H313" s="611"/>
      <c r="I313" s="611"/>
      <c r="J313" s="611"/>
      <c r="K313" s="611"/>
    </row>
    <row r="314" spans="2:11" ht="12.75">
      <c r="B314" s="611"/>
      <c r="C314" s="611"/>
      <c r="D314" s="611"/>
      <c r="E314" s="611"/>
      <c r="F314" s="611"/>
      <c r="G314" s="611"/>
      <c r="H314" s="611"/>
      <c r="I314" s="611"/>
      <c r="J314" s="611"/>
      <c r="K314" s="611"/>
    </row>
    <row r="315" spans="2:11" ht="12.75">
      <c r="B315" s="611"/>
      <c r="C315" s="611"/>
      <c r="D315" s="611"/>
      <c r="E315" s="611"/>
      <c r="F315" s="611"/>
      <c r="G315" s="611"/>
      <c r="H315" s="611"/>
      <c r="I315" s="611"/>
      <c r="J315" s="611"/>
      <c r="K315" s="611"/>
    </row>
    <row r="316" spans="2:11" ht="12.75">
      <c r="B316" s="611"/>
      <c r="C316" s="611"/>
      <c r="D316" s="611"/>
      <c r="E316" s="611"/>
      <c r="F316" s="611"/>
      <c r="G316" s="611"/>
      <c r="H316" s="611"/>
      <c r="I316" s="611"/>
      <c r="J316" s="611"/>
      <c r="K316" s="611"/>
    </row>
    <row r="317" spans="2:11" ht="12.75">
      <c r="B317" s="611"/>
      <c r="C317" s="611"/>
      <c r="D317" s="611"/>
      <c r="E317" s="611"/>
      <c r="F317" s="611"/>
      <c r="G317" s="611"/>
      <c r="H317" s="611"/>
      <c r="I317" s="611"/>
      <c r="J317" s="611"/>
      <c r="K317" s="611"/>
    </row>
    <row r="318" spans="2:11" ht="12.75">
      <c r="B318" s="611"/>
      <c r="C318" s="611"/>
      <c r="D318" s="611"/>
      <c r="E318" s="611"/>
      <c r="F318" s="611"/>
      <c r="G318" s="611"/>
      <c r="H318" s="611"/>
      <c r="I318" s="611"/>
      <c r="J318" s="611"/>
      <c r="K318" s="611"/>
    </row>
    <row r="319" spans="2:11" ht="12.75">
      <c r="B319" s="611"/>
      <c r="C319" s="611"/>
      <c r="D319" s="611"/>
      <c r="E319" s="611"/>
      <c r="F319" s="611"/>
      <c r="G319" s="611"/>
      <c r="H319" s="611"/>
      <c r="I319" s="611"/>
      <c r="J319" s="611"/>
      <c r="K319" s="611"/>
    </row>
    <row r="320" spans="2:11" ht="12.75">
      <c r="B320" s="611"/>
      <c r="C320" s="611"/>
      <c r="D320" s="611"/>
      <c r="E320" s="611"/>
      <c r="F320" s="611"/>
      <c r="G320" s="611"/>
      <c r="H320" s="611"/>
      <c r="I320" s="611"/>
      <c r="J320" s="611"/>
      <c r="K320" s="611"/>
    </row>
    <row r="321" spans="2:11" ht="12.75">
      <c r="B321" s="611"/>
      <c r="C321" s="611"/>
      <c r="D321" s="611"/>
      <c r="E321" s="611"/>
      <c r="F321" s="611"/>
      <c r="G321" s="611"/>
      <c r="H321" s="611"/>
      <c r="I321" s="611"/>
      <c r="J321" s="611"/>
      <c r="K321" s="611"/>
    </row>
    <row r="322" spans="2:11" ht="12.75">
      <c r="B322" s="611"/>
      <c r="C322" s="611"/>
      <c r="D322" s="611"/>
      <c r="E322" s="611"/>
      <c r="F322" s="611"/>
      <c r="G322" s="611"/>
      <c r="H322" s="611"/>
      <c r="I322" s="611"/>
      <c r="J322" s="611"/>
      <c r="K322" s="611"/>
    </row>
    <row r="323" spans="2:11" ht="12.75">
      <c r="B323" s="611"/>
      <c r="C323" s="611"/>
      <c r="D323" s="611"/>
      <c r="E323" s="611"/>
      <c r="F323" s="611"/>
      <c r="G323" s="611"/>
      <c r="H323" s="611"/>
      <c r="I323" s="611"/>
      <c r="J323" s="611"/>
      <c r="K323" s="611"/>
    </row>
    <row r="324" spans="2:11" ht="12.75">
      <c r="B324" s="611"/>
      <c r="C324" s="611"/>
      <c r="D324" s="611"/>
      <c r="E324" s="611"/>
      <c r="F324" s="611"/>
      <c r="G324" s="611"/>
      <c r="H324" s="611"/>
      <c r="I324" s="611"/>
      <c r="J324" s="611"/>
      <c r="K324" s="611"/>
    </row>
    <row r="325" spans="2:11" ht="12.75">
      <c r="B325" s="611"/>
      <c r="C325" s="611"/>
      <c r="D325" s="611"/>
      <c r="E325" s="611"/>
      <c r="F325" s="611"/>
      <c r="G325" s="611"/>
      <c r="H325" s="611"/>
      <c r="I325" s="611"/>
      <c r="J325" s="611"/>
      <c r="K325" s="611"/>
    </row>
    <row r="326" spans="2:11" ht="12.75">
      <c r="B326" s="611"/>
      <c r="C326" s="611"/>
      <c r="D326" s="611"/>
      <c r="E326" s="611"/>
      <c r="F326" s="611"/>
      <c r="G326" s="611"/>
      <c r="H326" s="611"/>
      <c r="I326" s="611"/>
      <c r="J326" s="611"/>
      <c r="K326" s="611"/>
    </row>
    <row r="327" spans="2:11" ht="12.75">
      <c r="B327" s="611"/>
      <c r="C327" s="611"/>
      <c r="D327" s="611"/>
      <c r="E327" s="611"/>
      <c r="F327" s="611"/>
      <c r="G327" s="611"/>
      <c r="H327" s="611"/>
      <c r="I327" s="611"/>
      <c r="J327" s="611"/>
      <c r="K327" s="611"/>
    </row>
    <row r="328" spans="2:11" ht="12.75">
      <c r="B328" s="611"/>
      <c r="C328" s="611"/>
      <c r="D328" s="611"/>
      <c r="E328" s="611"/>
      <c r="F328" s="611"/>
      <c r="G328" s="611"/>
      <c r="H328" s="611"/>
      <c r="I328" s="611"/>
      <c r="J328" s="611"/>
      <c r="K328" s="611"/>
    </row>
    <row r="329" spans="2:11" ht="12.75">
      <c r="B329" s="611"/>
      <c r="C329" s="611"/>
      <c r="D329" s="611"/>
      <c r="E329" s="611"/>
      <c r="F329" s="611"/>
      <c r="G329" s="611"/>
      <c r="H329" s="611"/>
      <c r="I329" s="611"/>
      <c r="J329" s="611"/>
      <c r="K329" s="611"/>
    </row>
    <row r="330" spans="2:11" ht="12.75">
      <c r="B330" s="611"/>
      <c r="C330" s="611"/>
      <c r="D330" s="611"/>
      <c r="E330" s="611"/>
      <c r="F330" s="611"/>
      <c r="G330" s="611"/>
      <c r="H330" s="611"/>
      <c r="I330" s="611"/>
      <c r="J330" s="611"/>
      <c r="K330" s="611"/>
    </row>
    <row r="331" spans="2:11" ht="12.75">
      <c r="B331" s="611"/>
      <c r="C331" s="611"/>
      <c r="D331" s="611"/>
      <c r="E331" s="611"/>
      <c r="F331" s="611"/>
      <c r="G331" s="611"/>
      <c r="H331" s="611"/>
      <c r="I331" s="611"/>
      <c r="J331" s="611"/>
      <c r="K331" s="611"/>
    </row>
    <row r="332" spans="2:11" ht="12.75">
      <c r="B332" s="611"/>
      <c r="C332" s="611"/>
      <c r="D332" s="611"/>
      <c r="E332" s="611"/>
      <c r="F332" s="611"/>
      <c r="G332" s="611"/>
      <c r="H332" s="611"/>
      <c r="I332" s="611"/>
      <c r="J332" s="611"/>
      <c r="K332" s="611"/>
    </row>
    <row r="333" spans="2:11" ht="12.75">
      <c r="B333" s="611"/>
      <c r="C333" s="611"/>
      <c r="D333" s="611"/>
      <c r="E333" s="611"/>
      <c r="F333" s="611"/>
      <c r="G333" s="611"/>
      <c r="H333" s="611"/>
      <c r="I333" s="611"/>
      <c r="J333" s="611"/>
      <c r="K333" s="611"/>
    </row>
    <row r="334" spans="2:11" ht="12.75">
      <c r="B334" s="611"/>
      <c r="C334" s="611"/>
      <c r="D334" s="611"/>
      <c r="E334" s="611"/>
      <c r="F334" s="611"/>
      <c r="G334" s="611"/>
      <c r="H334" s="611"/>
      <c r="I334" s="611"/>
      <c r="J334" s="611"/>
      <c r="K334" s="611"/>
    </row>
    <row r="335" spans="2:11" ht="12.75">
      <c r="B335" s="611"/>
      <c r="C335" s="611"/>
      <c r="D335" s="611"/>
      <c r="E335" s="611"/>
      <c r="F335" s="611"/>
      <c r="G335" s="611"/>
      <c r="H335" s="611"/>
      <c r="I335" s="611"/>
      <c r="J335" s="611"/>
      <c r="K335" s="611"/>
    </row>
    <row r="336" spans="2:11" ht="12.75">
      <c r="B336" s="611"/>
      <c r="C336" s="611"/>
      <c r="D336" s="611"/>
      <c r="E336" s="611"/>
      <c r="F336" s="611"/>
      <c r="G336" s="611"/>
      <c r="H336" s="611"/>
      <c r="I336" s="611"/>
      <c r="J336" s="611"/>
      <c r="K336" s="611"/>
    </row>
    <row r="337" spans="2:11" ht="12.75">
      <c r="B337" s="611"/>
      <c r="C337" s="611"/>
      <c r="D337" s="611"/>
      <c r="E337" s="611"/>
      <c r="F337" s="611"/>
      <c r="G337" s="611"/>
      <c r="H337" s="611"/>
      <c r="I337" s="611"/>
      <c r="J337" s="611"/>
      <c r="K337" s="611"/>
    </row>
    <row r="338" spans="2:11" ht="12.75">
      <c r="B338" s="611"/>
      <c r="C338" s="611"/>
      <c r="D338" s="611"/>
      <c r="E338" s="611"/>
      <c r="F338" s="611"/>
      <c r="G338" s="611"/>
      <c r="H338" s="611"/>
      <c r="I338" s="611"/>
      <c r="J338" s="611"/>
      <c r="K338" s="611"/>
    </row>
    <row r="339" spans="2:11" ht="12.75">
      <c r="B339" s="611"/>
      <c r="C339" s="611"/>
      <c r="D339" s="611"/>
      <c r="E339" s="611"/>
      <c r="F339" s="611"/>
      <c r="G339" s="611"/>
      <c r="H339" s="611"/>
      <c r="I339" s="611"/>
      <c r="J339" s="611"/>
      <c r="K339" s="611"/>
    </row>
    <row r="340" spans="2:11" ht="12.75">
      <c r="B340" s="611"/>
      <c r="C340" s="611"/>
      <c r="D340" s="611"/>
      <c r="E340" s="611"/>
      <c r="F340" s="611"/>
      <c r="G340" s="611"/>
      <c r="H340" s="611"/>
      <c r="I340" s="611"/>
      <c r="J340" s="611"/>
      <c r="K340" s="611"/>
    </row>
    <row r="341" spans="2:11" ht="12.75">
      <c r="B341" s="611"/>
      <c r="C341" s="611"/>
      <c r="D341" s="611"/>
      <c r="E341" s="611"/>
      <c r="F341" s="611"/>
      <c r="G341" s="611"/>
      <c r="H341" s="611"/>
      <c r="I341" s="611"/>
      <c r="J341" s="611"/>
      <c r="K341" s="611"/>
    </row>
    <row r="342" spans="2:11" ht="12.75">
      <c r="B342" s="611"/>
      <c r="C342" s="611"/>
      <c r="D342" s="611"/>
      <c r="E342" s="611"/>
      <c r="F342" s="611"/>
      <c r="G342" s="611"/>
      <c r="H342" s="611"/>
      <c r="I342" s="611"/>
      <c r="J342" s="611"/>
      <c r="K342" s="611"/>
    </row>
    <row r="343" spans="2:11" ht="12.75">
      <c r="B343" s="611"/>
      <c r="C343" s="611"/>
      <c r="D343" s="611"/>
      <c r="E343" s="611"/>
      <c r="F343" s="611"/>
      <c r="G343" s="611"/>
      <c r="H343" s="611"/>
      <c r="I343" s="611"/>
      <c r="J343" s="611"/>
      <c r="K343" s="611"/>
    </row>
    <row r="344" spans="2:11" ht="12.75">
      <c r="B344" s="611"/>
      <c r="C344" s="611"/>
      <c r="D344" s="611"/>
      <c r="E344" s="611"/>
      <c r="F344" s="611"/>
      <c r="G344" s="611"/>
      <c r="H344" s="611"/>
      <c r="I344" s="611"/>
      <c r="J344" s="611"/>
      <c r="K344" s="611"/>
    </row>
    <row r="345" spans="2:11" ht="12.75">
      <c r="B345" s="611"/>
      <c r="C345" s="611"/>
      <c r="D345" s="611"/>
      <c r="E345" s="611"/>
      <c r="F345" s="611"/>
      <c r="G345" s="611"/>
      <c r="H345" s="611"/>
      <c r="I345" s="611"/>
      <c r="J345" s="611"/>
      <c r="K345" s="611"/>
    </row>
    <row r="346" spans="2:11" ht="12.75">
      <c r="B346" s="611"/>
      <c r="C346" s="611"/>
      <c r="D346" s="611"/>
      <c r="E346" s="611"/>
      <c r="F346" s="611"/>
      <c r="G346" s="611"/>
      <c r="H346" s="611"/>
      <c r="I346" s="611"/>
      <c r="J346" s="611"/>
      <c r="K346" s="611"/>
    </row>
    <row r="347" spans="2:11" ht="12.75">
      <c r="B347" s="611"/>
      <c r="C347" s="611"/>
      <c r="D347" s="611"/>
      <c r="E347" s="611"/>
      <c r="F347" s="611"/>
      <c r="G347" s="611"/>
      <c r="H347" s="611"/>
      <c r="I347" s="611"/>
      <c r="J347" s="611"/>
      <c r="K347" s="611"/>
    </row>
    <row r="348" spans="2:11" ht="12.75">
      <c r="B348" s="611"/>
      <c r="C348" s="611"/>
      <c r="D348" s="611"/>
      <c r="E348" s="611"/>
      <c r="F348" s="611"/>
      <c r="G348" s="611"/>
      <c r="H348" s="611"/>
      <c r="I348" s="611"/>
      <c r="J348" s="611"/>
      <c r="K348" s="611"/>
    </row>
    <row r="349" spans="2:11" ht="12.75">
      <c r="B349" s="611"/>
      <c r="C349" s="611"/>
      <c r="D349" s="611"/>
      <c r="E349" s="611"/>
      <c r="F349" s="611"/>
      <c r="G349" s="611"/>
      <c r="H349" s="611"/>
      <c r="I349" s="611"/>
      <c r="J349" s="611"/>
      <c r="K349" s="611"/>
    </row>
    <row r="350" spans="2:11" ht="12.75">
      <c r="B350" s="611"/>
      <c r="C350" s="611"/>
      <c r="D350" s="611"/>
      <c r="E350" s="611"/>
      <c r="F350" s="611"/>
      <c r="G350" s="611"/>
      <c r="H350" s="611"/>
      <c r="I350" s="611"/>
      <c r="J350" s="611"/>
      <c r="K350" s="611"/>
    </row>
    <row r="351" spans="2:11" ht="12.75">
      <c r="B351" s="611"/>
      <c r="C351" s="611"/>
      <c r="D351" s="611"/>
      <c r="E351" s="611"/>
      <c r="F351" s="611"/>
      <c r="G351" s="611"/>
      <c r="H351" s="611"/>
      <c r="I351" s="611"/>
      <c r="J351" s="611"/>
      <c r="K351" s="611"/>
    </row>
    <row r="352" spans="2:11" ht="12.75">
      <c r="B352" s="611"/>
      <c r="C352" s="611"/>
      <c r="D352" s="611"/>
      <c r="E352" s="611"/>
      <c r="F352" s="611"/>
      <c r="G352" s="611"/>
      <c r="H352" s="611"/>
      <c r="I352" s="611"/>
      <c r="J352" s="611"/>
      <c r="K352" s="611"/>
    </row>
    <row r="353" spans="2:11" ht="12.75">
      <c r="B353" s="611"/>
      <c r="C353" s="611"/>
      <c r="D353" s="611"/>
      <c r="E353" s="611"/>
      <c r="F353" s="611"/>
      <c r="G353" s="611"/>
      <c r="H353" s="611"/>
      <c r="I353" s="611"/>
      <c r="J353" s="611"/>
      <c r="K353" s="611"/>
    </row>
    <row r="354" spans="2:11" ht="12.75">
      <c r="B354" s="611"/>
      <c r="C354" s="611"/>
      <c r="D354" s="611"/>
      <c r="E354" s="611"/>
      <c r="F354" s="611"/>
      <c r="G354" s="611"/>
      <c r="H354" s="611"/>
      <c r="I354" s="611"/>
      <c r="J354" s="611"/>
      <c r="K354" s="611"/>
    </row>
    <row r="355" spans="2:11" ht="12.75">
      <c r="B355" s="611"/>
      <c r="C355" s="611"/>
      <c r="D355" s="611"/>
      <c r="E355" s="611"/>
      <c r="F355" s="611"/>
      <c r="G355" s="611"/>
      <c r="H355" s="611"/>
      <c r="I355" s="611"/>
      <c r="J355" s="611"/>
      <c r="K355" s="611"/>
    </row>
    <row r="356" spans="2:11" ht="12.75">
      <c r="B356" s="611"/>
      <c r="C356" s="611"/>
      <c r="D356" s="611"/>
      <c r="E356" s="611"/>
      <c r="F356" s="611"/>
      <c r="G356" s="611"/>
      <c r="H356" s="611"/>
      <c r="I356" s="611"/>
      <c r="J356" s="611"/>
      <c r="K356" s="611"/>
    </row>
    <row r="357" spans="2:11" ht="12.75">
      <c r="B357" s="611"/>
      <c r="C357" s="611"/>
      <c r="D357" s="611"/>
      <c r="E357" s="611"/>
      <c r="F357" s="611"/>
      <c r="G357" s="611"/>
      <c r="H357" s="611"/>
      <c r="I357" s="611"/>
      <c r="J357" s="611"/>
      <c r="K357" s="611"/>
    </row>
    <row r="358" spans="2:11" ht="12.75">
      <c r="B358" s="611"/>
      <c r="C358" s="611"/>
      <c r="D358" s="611"/>
      <c r="E358" s="611"/>
      <c r="F358" s="611"/>
      <c r="G358" s="611"/>
      <c r="H358" s="611"/>
      <c r="I358" s="611"/>
      <c r="J358" s="611"/>
      <c r="K358" s="611"/>
    </row>
    <row r="359" spans="2:11" ht="12.75">
      <c r="B359" s="611"/>
      <c r="C359" s="611"/>
      <c r="D359" s="611"/>
      <c r="E359" s="611"/>
      <c r="F359" s="611"/>
      <c r="G359" s="611"/>
      <c r="H359" s="611"/>
      <c r="I359" s="611"/>
      <c r="J359" s="611"/>
      <c r="K359" s="611"/>
    </row>
    <row r="360" spans="2:11" ht="12.75">
      <c r="B360" s="611"/>
      <c r="C360" s="611"/>
      <c r="D360" s="611"/>
      <c r="E360" s="611"/>
      <c r="F360" s="611"/>
      <c r="G360" s="611"/>
      <c r="H360" s="611"/>
      <c r="I360" s="611"/>
      <c r="J360" s="611"/>
      <c r="K360" s="611"/>
    </row>
    <row r="361" spans="2:11" ht="12.75">
      <c r="B361" s="611"/>
      <c r="C361" s="611"/>
      <c r="D361" s="611"/>
      <c r="E361" s="611"/>
      <c r="F361" s="611"/>
      <c r="G361" s="611"/>
      <c r="H361" s="611"/>
      <c r="I361" s="611"/>
      <c r="J361" s="611"/>
      <c r="K361" s="611"/>
    </row>
  </sheetData>
  <mergeCells count="2">
    <mergeCell ref="J11:P11"/>
    <mergeCell ref="B5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F5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6384" width="9.140625" style="1" customWidth="1"/>
  </cols>
  <sheetData>
    <row r="1" spans="1:32" ht="26.25">
      <c r="A1" s="2" t="s">
        <v>671</v>
      </c>
      <c r="B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  <c r="R9" s="7" t="s">
        <v>590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3"/>
      <c r="B25" s="4"/>
      <c r="C25" s="3"/>
      <c r="D25" s="3"/>
      <c r="E25" s="3"/>
      <c r="F25" s="3"/>
      <c r="G25" s="3"/>
      <c r="H25" s="3"/>
      <c r="I25" s="3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26.25" hidden="1">
      <c r="A26" s="3"/>
      <c r="B26" s="4"/>
      <c r="C26" s="2" t="s">
        <v>591</v>
      </c>
      <c r="D26" s="3"/>
      <c r="E26" s="3"/>
      <c r="F26" s="3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 customHeight="1" hidden="1">
      <c r="A27" s="3"/>
      <c r="B27" s="4"/>
      <c r="C27" s="2"/>
      <c r="D27" s="3"/>
      <c r="E27" s="3"/>
      <c r="F27" s="3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1" ht="15.75">
      <c r="A28" s="5"/>
      <c r="B28" s="439" t="s">
        <v>691</v>
      </c>
      <c r="C28" s="440"/>
      <c r="D28" s="441"/>
      <c r="E28" s="441"/>
      <c r="F28" s="442"/>
      <c r="G28" s="5"/>
      <c r="H28" s="5"/>
      <c r="I28" s="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2.75">
      <c r="A29" s="3"/>
      <c r="B29" s="443"/>
      <c r="C29" s="433"/>
      <c r="D29" s="3"/>
      <c r="E29" s="3" t="s">
        <v>592</v>
      </c>
      <c r="F29" s="444"/>
      <c r="G29" s="3"/>
      <c r="H29" s="3"/>
      <c r="I29" s="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2.75">
      <c r="A30" s="3"/>
      <c r="B30" s="443"/>
      <c r="C30" s="434"/>
      <c r="D30" s="3"/>
      <c r="E30" s="3" t="s">
        <v>593</v>
      </c>
      <c r="F30" s="444"/>
      <c r="G30" s="3"/>
      <c r="H30" s="3"/>
      <c r="I30" s="3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2.75">
      <c r="A31" s="3"/>
      <c r="B31" s="443"/>
      <c r="C31" s="435"/>
      <c r="D31" s="3"/>
      <c r="E31" s="3" t="s">
        <v>594</v>
      </c>
      <c r="F31" s="444"/>
      <c r="G31" s="3"/>
      <c r="H31" s="3"/>
      <c r="I31" s="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2.75">
      <c r="A32" s="3"/>
      <c r="B32" s="445"/>
      <c r="C32" s="446"/>
      <c r="D32" s="446"/>
      <c r="E32" s="446"/>
      <c r="F32" s="447"/>
      <c r="G32" s="3"/>
      <c r="H32" s="3"/>
      <c r="I32" s="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2.75">
      <c r="A33" s="3"/>
      <c r="B33" s="4"/>
      <c r="C33" s="3"/>
      <c r="D33" s="3"/>
      <c r="E33" s="3"/>
      <c r="F33" s="3"/>
      <c r="G33" s="3"/>
      <c r="H33" s="3"/>
      <c r="I33" s="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2" ht="15.75">
      <c r="A34" s="3"/>
      <c r="B34" s="439" t="s">
        <v>617</v>
      </c>
      <c r="C34" s="457"/>
      <c r="D34" s="457"/>
      <c r="E34" s="450"/>
      <c r="F34" s="457"/>
      <c r="G34" s="457"/>
      <c r="H34" s="451"/>
      <c r="I34" s="3"/>
      <c r="J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3"/>
      <c r="B35" s="443"/>
      <c r="C35" s="436"/>
      <c r="D35" s="3"/>
      <c r="E35" s="3" t="s">
        <v>595</v>
      </c>
      <c r="F35" s="3"/>
      <c r="G35" s="3"/>
      <c r="H35" s="444"/>
      <c r="I35" s="3"/>
      <c r="J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3"/>
      <c r="B36" s="443"/>
      <c r="C36" s="437"/>
      <c r="D36" s="3"/>
      <c r="E36" s="3" t="s">
        <v>615</v>
      </c>
      <c r="F36" s="3"/>
      <c r="G36" s="3"/>
      <c r="H36" s="444"/>
      <c r="I36" s="3"/>
      <c r="J36" s="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3"/>
      <c r="B37" s="443"/>
      <c r="C37" s="435"/>
      <c r="D37" s="3"/>
      <c r="E37" s="3" t="s">
        <v>596</v>
      </c>
      <c r="F37" s="3"/>
      <c r="G37" s="3"/>
      <c r="H37" s="444"/>
      <c r="I37" s="3"/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3"/>
      <c r="B38" s="443"/>
      <c r="C38" s="438"/>
      <c r="D38" s="3"/>
      <c r="E38" s="5" t="s">
        <v>616</v>
      </c>
      <c r="F38" s="3"/>
      <c r="G38" s="3"/>
      <c r="H38" s="444"/>
      <c r="I38" s="3"/>
      <c r="J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3"/>
      <c r="B39" s="445"/>
      <c r="C39" s="446"/>
      <c r="D39" s="446"/>
      <c r="E39" s="446"/>
      <c r="F39" s="446"/>
      <c r="G39" s="446"/>
      <c r="H39" s="447"/>
      <c r="I39" s="3"/>
      <c r="J39" s="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3"/>
      <c r="B40" s="4"/>
      <c r="C40" s="3"/>
      <c r="D40" s="3"/>
      <c r="E40" s="3"/>
      <c r="F40" s="3"/>
      <c r="G40" s="3"/>
      <c r="H40" s="3"/>
      <c r="I40" s="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2:32" ht="12.75">
      <c r="B41" s="4"/>
      <c r="C41" s="3"/>
      <c r="D41" s="3"/>
      <c r="E41" s="3"/>
      <c r="F41" s="3"/>
      <c r="G41" s="3"/>
      <c r="H41" s="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92"/>
  <sheetViews>
    <sheetView zoomScale="145" zoomScaleNormal="145" zoomScalePageLayoutView="0" workbookViewId="0" topLeftCell="A1">
      <selection activeCell="D26" sqref="D26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3" width="15.7109375" style="123" customWidth="1"/>
    <col min="4" max="4" width="41.140625" style="1" customWidth="1"/>
    <col min="5" max="5" width="15.00390625" style="1" customWidth="1"/>
    <col min="6" max="6" width="15.7109375" style="1" customWidth="1"/>
    <col min="7" max="7" width="14.7109375" style="97" customWidth="1"/>
    <col min="8" max="12" width="12.7109375" style="1" customWidth="1"/>
    <col min="13" max="13" width="45.421875" style="1" customWidth="1"/>
    <col min="14" max="14" width="26.8515625" style="1" customWidth="1"/>
    <col min="15" max="16" width="9.00390625" style="1" customWidth="1"/>
    <col min="17" max="17" width="13.57421875" style="1" customWidth="1"/>
    <col min="18" max="19" width="13.421875" style="1" customWidth="1"/>
    <col min="20" max="21" width="9.28125" style="1" customWidth="1"/>
    <col min="22" max="23" width="9.140625" style="1" customWidth="1"/>
    <col min="24" max="25" width="18.7109375" style="1" customWidth="1"/>
    <col min="26" max="16384" width="9.140625" style="1" customWidth="1"/>
  </cols>
  <sheetData>
    <row r="1" spans="1:3" s="252" customFormat="1" ht="23.25">
      <c r="A1" s="252" t="s">
        <v>672</v>
      </c>
      <c r="C1" s="256"/>
    </row>
    <row r="2" ht="12.75">
      <c r="G2" s="1"/>
    </row>
    <row r="3" ht="12.75">
      <c r="G3" s="1"/>
    </row>
    <row r="4" spans="2:7" ht="12.75">
      <c r="B4" s="598" t="s">
        <v>247</v>
      </c>
      <c r="C4" s="257" t="s">
        <v>248</v>
      </c>
      <c r="D4" s="280"/>
      <c r="E4" s="280"/>
      <c r="F4" s="280"/>
      <c r="G4" s="280"/>
    </row>
    <row r="5" spans="2:7" ht="12.75">
      <c r="B5" s="599" t="s">
        <v>249</v>
      </c>
      <c r="C5" s="244" t="s">
        <v>250</v>
      </c>
      <c r="D5" s="243"/>
      <c r="E5" s="243"/>
      <c r="F5" s="243"/>
      <c r="G5" s="243"/>
    </row>
    <row r="6" spans="2:7" ht="12.75">
      <c r="B6" s="600" t="s">
        <v>251</v>
      </c>
      <c r="C6" s="323" t="s">
        <v>178</v>
      </c>
      <c r="D6" s="324"/>
      <c r="E6" s="324"/>
      <c r="F6" s="324"/>
      <c r="G6" s="324"/>
    </row>
    <row r="7" spans="2:7" ht="12.75">
      <c r="B7" s="601" t="s">
        <v>252</v>
      </c>
      <c r="C7" s="258" t="s">
        <v>253</v>
      </c>
      <c r="D7" s="281"/>
      <c r="E7" s="281"/>
      <c r="F7" s="281"/>
      <c r="G7" s="281"/>
    </row>
    <row r="8" spans="2:7" ht="12.75">
      <c r="B8" s="602" t="s">
        <v>254</v>
      </c>
      <c r="C8" s="259" t="s">
        <v>255</v>
      </c>
      <c r="D8" s="255"/>
      <c r="E8" s="255"/>
      <c r="F8" s="255"/>
      <c r="G8" s="255"/>
    </row>
    <row r="10" spans="1:2" ht="15.75">
      <c r="A10" s="153" t="s">
        <v>619</v>
      </c>
      <c r="B10" s="153" t="s">
        <v>845</v>
      </c>
    </row>
    <row r="11" spans="1:3" ht="15.75">
      <c r="A11" s="153"/>
      <c r="B11" s="153"/>
      <c r="C11" s="549" t="s">
        <v>270</v>
      </c>
    </row>
    <row r="12" spans="3:7" ht="12.75">
      <c r="C12" s="655" t="s">
        <v>846</v>
      </c>
      <c r="D12" s="656"/>
      <c r="E12" s="657"/>
      <c r="F12" s="106">
        <v>1</v>
      </c>
      <c r="G12" s="106">
        <v>2</v>
      </c>
    </row>
    <row r="13" spans="3:7" ht="12.75">
      <c r="C13" s="103" t="s">
        <v>626</v>
      </c>
      <c r="D13" s="103" t="s">
        <v>631</v>
      </c>
      <c r="E13" s="103" t="s">
        <v>652</v>
      </c>
      <c r="F13" s="539" t="s">
        <v>96</v>
      </c>
      <c r="G13" s="106" t="s">
        <v>947</v>
      </c>
    </row>
    <row r="14" spans="3:7" ht="12.75">
      <c r="C14" s="410" t="s">
        <v>36</v>
      </c>
      <c r="D14" s="550" t="s">
        <v>193</v>
      </c>
      <c r="E14" s="299" t="s">
        <v>601</v>
      </c>
      <c r="F14" s="429">
        <v>0.98</v>
      </c>
      <c r="G14" s="429">
        <v>0.98</v>
      </c>
    </row>
    <row r="15" spans="3:7" ht="12.75">
      <c r="C15" s="412"/>
      <c r="D15" s="550" t="s">
        <v>194</v>
      </c>
      <c r="E15" s="299" t="s">
        <v>601</v>
      </c>
      <c r="F15" s="429">
        <v>0.95</v>
      </c>
      <c r="G15" s="429">
        <v>0.95</v>
      </c>
    </row>
    <row r="16" spans="3:7" ht="12.75">
      <c r="C16" s="410" t="s">
        <v>627</v>
      </c>
      <c r="D16" s="291" t="s">
        <v>625</v>
      </c>
      <c r="E16" s="299" t="s">
        <v>601</v>
      </c>
      <c r="F16" s="429">
        <v>0.14</v>
      </c>
      <c r="G16" s="429">
        <v>0.14</v>
      </c>
    </row>
    <row r="17" spans="3:7" ht="12.75">
      <c r="C17" s="411"/>
      <c r="D17" s="291" t="s">
        <v>801</v>
      </c>
      <c r="E17" s="299" t="s">
        <v>629</v>
      </c>
      <c r="F17" s="415">
        <v>10</v>
      </c>
      <c r="G17" s="415">
        <v>10</v>
      </c>
    </row>
    <row r="18" spans="3:7" ht="12.75">
      <c r="C18" s="411"/>
      <c r="D18" s="291" t="s">
        <v>802</v>
      </c>
      <c r="E18" s="299" t="s">
        <v>629</v>
      </c>
      <c r="F18" s="415">
        <v>5</v>
      </c>
      <c r="G18" s="415">
        <v>5</v>
      </c>
    </row>
    <row r="19" spans="3:7" ht="12.75">
      <c r="C19" s="411"/>
      <c r="D19" s="291" t="s">
        <v>804</v>
      </c>
      <c r="E19" s="299" t="s">
        <v>629</v>
      </c>
      <c r="F19" s="415">
        <v>15</v>
      </c>
      <c r="G19" s="415">
        <v>15</v>
      </c>
    </row>
    <row r="20" spans="3:7" ht="12.75">
      <c r="C20" s="411"/>
      <c r="D20" s="291" t="s">
        <v>25</v>
      </c>
      <c r="E20" s="299" t="s">
        <v>601</v>
      </c>
      <c r="F20" s="414">
        <v>0.2</v>
      </c>
      <c r="G20" s="414">
        <v>0.2</v>
      </c>
    </row>
    <row r="21" spans="3:7" ht="12.75">
      <c r="C21" s="411"/>
      <c r="D21" s="291" t="s">
        <v>29</v>
      </c>
      <c r="E21" s="299" t="s">
        <v>630</v>
      </c>
      <c r="F21" s="414">
        <v>-0.05</v>
      </c>
      <c r="G21" s="414">
        <v>-0.05</v>
      </c>
    </row>
    <row r="22" spans="3:7" ht="12.75">
      <c r="C22" s="411"/>
      <c r="D22" s="291" t="s">
        <v>30</v>
      </c>
      <c r="E22" s="299" t="s">
        <v>630</v>
      </c>
      <c r="F22" s="414">
        <v>-0.02</v>
      </c>
      <c r="G22" s="414">
        <v>-0.02</v>
      </c>
    </row>
    <row r="23" spans="3:7" ht="12.75">
      <c r="C23" s="411"/>
      <c r="D23" s="291" t="s">
        <v>8</v>
      </c>
      <c r="E23" s="299" t="s">
        <v>630</v>
      </c>
      <c r="F23" s="414">
        <v>-0.05</v>
      </c>
      <c r="G23" s="414">
        <v>-0.05</v>
      </c>
    </row>
    <row r="24" spans="3:7" ht="12.75">
      <c r="C24" s="411"/>
      <c r="D24" s="291" t="s">
        <v>31</v>
      </c>
      <c r="E24" s="299" t="s">
        <v>630</v>
      </c>
      <c r="F24" s="414">
        <v>0.05</v>
      </c>
      <c r="G24" s="414">
        <v>0.05</v>
      </c>
    </row>
    <row r="25" spans="3:7" ht="12.75">
      <c r="C25" s="411"/>
      <c r="D25" s="291" t="s">
        <v>32</v>
      </c>
      <c r="E25" s="299" t="s">
        <v>630</v>
      </c>
      <c r="F25" s="414">
        <v>0.05</v>
      </c>
      <c r="G25" s="414">
        <v>0.05</v>
      </c>
    </row>
    <row r="26" spans="3:7" ht="12.75">
      <c r="C26" s="411"/>
      <c r="D26" s="291" t="s">
        <v>9</v>
      </c>
      <c r="E26" s="299" t="s">
        <v>601</v>
      </c>
      <c r="F26" s="414">
        <v>0.15</v>
      </c>
      <c r="G26" s="414">
        <v>0.15</v>
      </c>
    </row>
    <row r="27" spans="3:7" ht="12.75">
      <c r="C27" s="411"/>
      <c r="D27" s="291" t="s">
        <v>10</v>
      </c>
      <c r="E27" s="299" t="s">
        <v>601</v>
      </c>
      <c r="F27" s="414">
        <v>0.12</v>
      </c>
      <c r="G27" s="414">
        <v>0.12</v>
      </c>
    </row>
    <row r="28" spans="3:7" ht="12.75">
      <c r="C28" s="411"/>
      <c r="D28" s="291" t="s">
        <v>34</v>
      </c>
      <c r="E28" s="299" t="s">
        <v>601</v>
      </c>
      <c r="F28" s="414">
        <v>0.08</v>
      </c>
      <c r="G28" s="414">
        <v>0.08</v>
      </c>
    </row>
    <row r="29" spans="3:7" ht="12.75">
      <c r="C29" s="411"/>
      <c r="D29" s="291" t="s">
        <v>33</v>
      </c>
      <c r="E29" s="299" t="s">
        <v>601</v>
      </c>
      <c r="F29" s="414">
        <v>0.15</v>
      </c>
      <c r="G29" s="414">
        <v>0.15</v>
      </c>
    </row>
    <row r="30" spans="3:7" ht="12.75">
      <c r="C30" s="411"/>
      <c r="D30" s="291" t="s">
        <v>11</v>
      </c>
      <c r="E30" s="299" t="s">
        <v>601</v>
      </c>
      <c r="F30" s="414">
        <v>0.06</v>
      </c>
      <c r="G30" s="414">
        <v>0.06</v>
      </c>
    </row>
    <row r="31" spans="3:7" ht="12.75">
      <c r="C31" s="410" t="s">
        <v>628</v>
      </c>
      <c r="D31" s="291" t="s">
        <v>948</v>
      </c>
      <c r="E31" s="299" t="s">
        <v>601</v>
      </c>
      <c r="F31" s="429">
        <v>0.1</v>
      </c>
      <c r="G31" s="429">
        <v>0.1</v>
      </c>
    </row>
    <row r="32" spans="3:7" ht="12.75">
      <c r="C32" s="412"/>
      <c r="D32" s="291" t="s">
        <v>803</v>
      </c>
      <c r="E32" s="299" t="s">
        <v>632</v>
      </c>
      <c r="F32" s="427">
        <v>250</v>
      </c>
      <c r="G32" s="427">
        <v>250</v>
      </c>
    </row>
    <row r="34" spans="1:12" ht="15.75">
      <c r="A34" s="153" t="s">
        <v>622</v>
      </c>
      <c r="B34" s="153" t="s">
        <v>623</v>
      </c>
      <c r="L34" s="148" t="s">
        <v>96</v>
      </c>
    </row>
    <row r="35" spans="1:12" ht="12.75" customHeight="1">
      <c r="A35" s="153"/>
      <c r="B35" s="153"/>
      <c r="L35" s="148" t="s">
        <v>947</v>
      </c>
    </row>
    <row r="36" spans="1:12" ht="12.75" customHeight="1">
      <c r="A36" s="153"/>
      <c r="B36" s="153"/>
      <c r="C36" s="335" t="s">
        <v>847</v>
      </c>
      <c r="K36" s="517">
        <v>1</v>
      </c>
      <c r="L36" s="83"/>
    </row>
    <row r="37" spans="7:12" ht="12.75">
      <c r="G37" s="1"/>
      <c r="L37" s="83"/>
    </row>
    <row r="38" spans="3:6" ht="25.5">
      <c r="C38" s="103" t="s">
        <v>626</v>
      </c>
      <c r="D38" s="103" t="s">
        <v>631</v>
      </c>
      <c r="E38" s="103" t="s">
        <v>652</v>
      </c>
      <c r="F38" s="106" t="s">
        <v>624</v>
      </c>
    </row>
    <row r="39" spans="3:6" ht="12.75">
      <c r="C39" s="568" t="s">
        <v>36</v>
      </c>
      <c r="D39" s="550" t="s">
        <v>193</v>
      </c>
      <c r="E39" s="299" t="s">
        <v>601</v>
      </c>
      <c r="F39" s="389">
        <f>IF(K$36=1,F14,IF(K$36=2,G14))</f>
        <v>0.98</v>
      </c>
    </row>
    <row r="40" spans="3:6" ht="12.75">
      <c r="C40" s="412"/>
      <c r="D40" s="550" t="s">
        <v>194</v>
      </c>
      <c r="E40" s="299" t="s">
        <v>601</v>
      </c>
      <c r="F40" s="389">
        <f>IF(K$36=1,F15,IF(K$36=2,G15))</f>
        <v>0.95</v>
      </c>
    </row>
    <row r="41" spans="3:6" ht="12.75">
      <c r="C41" s="410" t="s">
        <v>627</v>
      </c>
      <c r="D41" s="291" t="str">
        <f aca="true" t="shared" si="0" ref="D41:D53">D16</f>
        <v>Pre-tax WACC</v>
      </c>
      <c r="E41" s="299" t="s">
        <v>601</v>
      </c>
      <c r="F41" s="389">
        <f aca="true" t="shared" si="1" ref="F41:F57">IF(K$36=1,F16,IF(K$36=2,G16))</f>
        <v>0.14</v>
      </c>
    </row>
    <row r="42" spans="3:6" ht="12.75">
      <c r="C42" s="411"/>
      <c r="D42" s="291" t="str">
        <f t="shared" si="0"/>
        <v>Economic asset life - h/w related</v>
      </c>
      <c r="E42" s="299" t="s">
        <v>629</v>
      </c>
      <c r="F42" s="467">
        <f t="shared" si="1"/>
        <v>10</v>
      </c>
    </row>
    <row r="43" spans="3:6" ht="12.75">
      <c r="C43" s="411"/>
      <c r="D43" s="291" t="str">
        <f t="shared" si="0"/>
        <v>Economic asset life - s/w related</v>
      </c>
      <c r="E43" s="299" t="s">
        <v>629</v>
      </c>
      <c r="F43" s="467">
        <f t="shared" si="1"/>
        <v>5</v>
      </c>
    </row>
    <row r="44" spans="3:6" ht="12.75">
      <c r="C44" s="411"/>
      <c r="D44" s="291" t="str">
        <f t="shared" si="0"/>
        <v>Economic asset life - transmission</v>
      </c>
      <c r="E44" s="299" t="s">
        <v>629</v>
      </c>
      <c r="F44" s="467">
        <f t="shared" si="1"/>
        <v>15</v>
      </c>
    </row>
    <row r="45" spans="3:6" ht="12.75">
      <c r="C45" s="411"/>
      <c r="D45" s="291" t="str">
        <f t="shared" si="0"/>
        <v>Scrap value at end of asset life</v>
      </c>
      <c r="E45" s="299" t="s">
        <v>629</v>
      </c>
      <c r="F45" s="389">
        <f t="shared" si="1"/>
        <v>0.2</v>
      </c>
    </row>
    <row r="46" spans="3:6" ht="12.75">
      <c r="C46" s="411"/>
      <c r="D46" s="291" t="str">
        <f t="shared" si="0"/>
        <v>Annual asset price trend - h/w related</v>
      </c>
      <c r="E46" s="299" t="s">
        <v>630</v>
      </c>
      <c r="F46" s="389">
        <f t="shared" si="1"/>
        <v>-0.05</v>
      </c>
    </row>
    <row r="47" spans="3:6" ht="12.75">
      <c r="C47" s="411"/>
      <c r="D47" s="291" t="str">
        <f t="shared" si="0"/>
        <v>Annual asset price trend - s/w related</v>
      </c>
      <c r="E47" s="299" t="s">
        <v>630</v>
      </c>
      <c r="F47" s="389">
        <f t="shared" si="1"/>
        <v>-0.02</v>
      </c>
    </row>
    <row r="48" spans="3:6" ht="12.75">
      <c r="C48" s="411"/>
      <c r="D48" s="291" t="str">
        <f t="shared" si="0"/>
        <v>Annual asset price trend - transmission </v>
      </c>
      <c r="E48" s="299" t="s">
        <v>630</v>
      </c>
      <c r="F48" s="389">
        <f t="shared" si="1"/>
        <v>-0.05</v>
      </c>
    </row>
    <row r="49" spans="3:6" ht="12.75">
      <c r="C49" s="411"/>
      <c r="D49" s="291" t="str">
        <f t="shared" si="0"/>
        <v>Annual installation cost trend</v>
      </c>
      <c r="E49" s="299" t="s">
        <v>630</v>
      </c>
      <c r="F49" s="389">
        <f t="shared" si="1"/>
        <v>0.05</v>
      </c>
    </row>
    <row r="50" spans="3:6" ht="12.75">
      <c r="C50" s="411"/>
      <c r="D50" s="291" t="str">
        <f t="shared" si="0"/>
        <v>Annual opex cost trend</v>
      </c>
      <c r="E50" s="299" t="s">
        <v>630</v>
      </c>
      <c r="F50" s="389">
        <f t="shared" si="1"/>
        <v>0.05</v>
      </c>
    </row>
    <row r="51" spans="3:6" ht="12.75">
      <c r="C51" s="411"/>
      <c r="D51" s="291" t="str">
        <f t="shared" si="0"/>
        <v>Capitalised installation costs - equipment</v>
      </c>
      <c r="E51" s="299" t="s">
        <v>601</v>
      </c>
      <c r="F51" s="389">
        <f t="shared" si="1"/>
        <v>0.15</v>
      </c>
    </row>
    <row r="52" spans="3:6" ht="12.75">
      <c r="C52" s="411"/>
      <c r="D52" s="291" t="str">
        <f t="shared" si="0"/>
        <v>Capitalised installation costs - transmission</v>
      </c>
      <c r="E52" s="299" t="s">
        <v>601</v>
      </c>
      <c r="F52" s="389">
        <f t="shared" si="1"/>
        <v>0.12</v>
      </c>
    </row>
    <row r="53" spans="3:6" ht="12.75">
      <c r="C53" s="411"/>
      <c r="D53" s="291" t="str">
        <f t="shared" si="0"/>
        <v>Operating and maintenance costs - s/w related</v>
      </c>
      <c r="E53" s="299" t="s">
        <v>601</v>
      </c>
      <c r="F53" s="389">
        <f t="shared" si="1"/>
        <v>0.08</v>
      </c>
    </row>
    <row r="54" spans="3:6" ht="12.75">
      <c r="C54" s="411"/>
      <c r="D54" s="291" t="str">
        <f>D28</f>
        <v>Operating and maintenance costs - s/w related</v>
      </c>
      <c r="E54" s="299" t="s">
        <v>601</v>
      </c>
      <c r="F54" s="389">
        <f t="shared" si="1"/>
        <v>0.15</v>
      </c>
    </row>
    <row r="55" spans="3:6" ht="12.75">
      <c r="C55" s="411"/>
      <c r="D55" s="291" t="str">
        <f>D30</f>
        <v>Operating and maintenance costs - transmission</v>
      </c>
      <c r="E55" s="299" t="s">
        <v>601</v>
      </c>
      <c r="F55" s="389">
        <f t="shared" si="1"/>
        <v>0.06</v>
      </c>
    </row>
    <row r="56" spans="3:6" ht="12.75">
      <c r="C56" s="410" t="s">
        <v>628</v>
      </c>
      <c r="D56" s="291" t="str">
        <f>D31</f>
        <v>Busy day traffic in the busy hour - voice</v>
      </c>
      <c r="E56" s="299" t="s">
        <v>601</v>
      </c>
      <c r="F56" s="389">
        <f t="shared" si="1"/>
        <v>0.1</v>
      </c>
    </row>
    <row r="57" spans="3:6" ht="12.75">
      <c r="C57" s="412"/>
      <c r="D57" s="291" t="str">
        <f>D32</f>
        <v>Busy days per annum</v>
      </c>
      <c r="E57" s="299" t="s">
        <v>632</v>
      </c>
      <c r="F57" s="467">
        <f t="shared" si="1"/>
        <v>250</v>
      </c>
    </row>
    <row r="58" ht="12.75">
      <c r="C58" s="95"/>
    </row>
    <row r="59" spans="3:7" ht="12.75">
      <c r="C59" s="1"/>
      <c r="G59" s="1"/>
    </row>
    <row r="60" spans="1:2" ht="15.75">
      <c r="A60" s="153" t="s">
        <v>848</v>
      </c>
      <c r="B60" s="153" t="s">
        <v>618</v>
      </c>
    </row>
    <row r="61" ht="12.75">
      <c r="C61" s="549" t="s">
        <v>271</v>
      </c>
    </row>
    <row r="62" spans="3:8" ht="12.75">
      <c r="C62" s="460" t="s">
        <v>843</v>
      </c>
      <c r="D62" s="462"/>
      <c r="E62" s="463"/>
      <c r="F62" s="92" t="s">
        <v>620</v>
      </c>
      <c r="G62" s="92" t="s">
        <v>713</v>
      </c>
      <c r="H62" s="92" t="s">
        <v>621</v>
      </c>
    </row>
    <row r="63" spans="3:8" ht="12.75">
      <c r="C63" s="461"/>
      <c r="D63" s="464"/>
      <c r="E63" s="465"/>
      <c r="F63" s="92" t="str">
        <f>'C. Masterfiles'!D112</f>
        <v>Moldova Lei</v>
      </c>
      <c r="G63" s="92" t="str">
        <f>'C. Masterfiles'!D112</f>
        <v>Moldova Lei</v>
      </c>
      <c r="H63" s="92" t="s">
        <v>601</v>
      </c>
    </row>
    <row r="64" spans="2:8" ht="12.75">
      <c r="B64" s="54"/>
      <c r="C64" s="103" t="s">
        <v>634</v>
      </c>
      <c r="D64" s="103" t="s">
        <v>686</v>
      </c>
      <c r="E64" s="90" t="s">
        <v>652</v>
      </c>
      <c r="F64" s="92">
        <f>'C. Masterfiles'!D103</f>
        <v>2010</v>
      </c>
      <c r="G64" s="92">
        <f>F64</f>
        <v>2010</v>
      </c>
      <c r="H64" s="92">
        <f>G64</f>
        <v>2010</v>
      </c>
    </row>
    <row r="65" spans="3:8" ht="12.75">
      <c r="C65" s="291" t="str">
        <f>'C. Masterfiles'!C84</f>
        <v>S01</v>
      </c>
      <c r="D65" s="291" t="str">
        <f>'C. Masterfiles'!D84</f>
        <v>On-net local calls</v>
      </c>
      <c r="E65" s="291" t="str">
        <f>'C. Masterfiles'!E84</f>
        <v>Voice Minutes</v>
      </c>
      <c r="F65" s="409">
        <f>'11.Service pricing'!M49</f>
        <v>0.34964601942766</v>
      </c>
      <c r="G65" s="413">
        <v>0.18186712622803397</v>
      </c>
      <c r="H65" s="388">
        <f>IF(G65="","",F65/G65-1)</f>
        <v>0.92253557132286</v>
      </c>
    </row>
    <row r="66" spans="3:8" ht="12.75">
      <c r="C66" s="291" t="str">
        <f>'C. Masterfiles'!C85</f>
        <v>S02</v>
      </c>
      <c r="D66" s="291" t="str">
        <f>'C. Masterfiles'!D85</f>
        <v>On-net national calls</v>
      </c>
      <c r="E66" s="291" t="str">
        <f>'C. Masterfiles'!E85</f>
        <v>Voice Minutes</v>
      </c>
      <c r="F66" s="409">
        <f>'11.Service pricing'!M50</f>
        <v>0.8074761120655851</v>
      </c>
      <c r="G66" s="413">
        <v>0.1591260750956348</v>
      </c>
      <c r="H66" s="388">
        <f aca="true" t="shared" si="2" ref="H66:H76">IF(G66="","",F66/G66-1)</f>
        <v>4.074442460673349</v>
      </c>
    </row>
    <row r="67" spans="3:8" ht="12.75">
      <c r="C67" s="291" t="str">
        <f>'C. Masterfiles'!C86</f>
        <v>S03</v>
      </c>
      <c r="D67" s="291" t="str">
        <f>'C. Masterfiles'!D86</f>
        <v>Originating calls (local)</v>
      </c>
      <c r="E67" s="291" t="str">
        <f>'C. Masterfiles'!E86</f>
        <v>Voice Minutes</v>
      </c>
      <c r="F67" s="409">
        <f>'11.Service pricing'!M51</f>
        <v>0.10153915611972017</v>
      </c>
      <c r="G67" s="413">
        <v>0.10723723847673843</v>
      </c>
      <c r="H67" s="388">
        <f t="shared" si="2"/>
        <v>-0.053135295518209946</v>
      </c>
    </row>
    <row r="68" spans="3:8" ht="12.75">
      <c r="C68" s="291" t="str">
        <f>'C. Masterfiles'!C87</f>
        <v>S04</v>
      </c>
      <c r="D68" s="291" t="str">
        <f>'C. Masterfiles'!D87</f>
        <v>Originating calls (national) </v>
      </c>
      <c r="E68" s="291" t="str">
        <f>'C. Masterfiles'!E87</f>
        <v>Voice Minutes</v>
      </c>
      <c r="F68" s="409">
        <f>'11.Service pricing'!M52</f>
        <v>0.5079979130894579</v>
      </c>
      <c r="G68" s="413">
        <v>0.13591038581757992</v>
      </c>
      <c r="H68" s="388">
        <f t="shared" si="2"/>
        <v>2.7377416746597794</v>
      </c>
    </row>
    <row r="69" spans="3:8" ht="12.75">
      <c r="C69" s="291" t="str">
        <f>'C. Masterfiles'!C88</f>
        <v>S05</v>
      </c>
      <c r="D69" s="291" t="str">
        <f>'C. Masterfiles'!D88</f>
        <v>Originating calls (international)</v>
      </c>
      <c r="E69" s="291" t="str">
        <f>'C. Masterfiles'!E88</f>
        <v>Voice Minutes</v>
      </c>
      <c r="F69" s="409">
        <f>'11.Service pricing'!M53</f>
        <v>0.4293989047487239</v>
      </c>
      <c r="G69" s="413">
        <v>0.10830419228533017</v>
      </c>
      <c r="H69" s="388">
        <f t="shared" si="2"/>
        <v>2.9647486924371447</v>
      </c>
    </row>
    <row r="70" spans="3:8" ht="12.75">
      <c r="C70" s="291" t="str">
        <f>'C. Masterfiles'!C89</f>
        <v>S06</v>
      </c>
      <c r="D70" s="291" t="str">
        <f>'C. Masterfiles'!D89</f>
        <v>Terminating calls (local)</v>
      </c>
      <c r="E70" s="291" t="str">
        <f>'C. Masterfiles'!E89</f>
        <v>Voice Minutes</v>
      </c>
      <c r="F70" s="409">
        <f>'11.Service pricing'!M54</f>
        <v>0.1085664973761497</v>
      </c>
      <c r="G70" s="413">
        <v>0.11528997938997963</v>
      </c>
      <c r="H70" s="388">
        <f t="shared" si="2"/>
        <v>-0.05831800863704806</v>
      </c>
    </row>
    <row r="71" spans="3:8" ht="12.75">
      <c r="C71" s="291" t="str">
        <f>'C. Masterfiles'!C90</f>
        <v>S07</v>
      </c>
      <c r="D71" s="291" t="str">
        <f>'C. Masterfiles'!D90</f>
        <v>Terminating calls (national) </v>
      </c>
      <c r="E71" s="291" t="str">
        <f>'C. Masterfiles'!E90</f>
        <v>Voice Minutes</v>
      </c>
      <c r="F71" s="409">
        <f>'11.Service pricing'!M55</f>
        <v>0.5171051514945402</v>
      </c>
      <c r="G71" s="413">
        <v>0.1462704966204805</v>
      </c>
      <c r="H71" s="388">
        <f t="shared" si="2"/>
        <v>2.5352662597177247</v>
      </c>
    </row>
    <row r="72" spans="3:8" ht="12.75">
      <c r="C72" s="291" t="str">
        <f>'C. Masterfiles'!C91</f>
        <v>S08</v>
      </c>
      <c r="D72" s="291" t="str">
        <f>'C. Masterfiles'!D91</f>
        <v>Terminating calls (international)</v>
      </c>
      <c r="E72" s="291" t="str">
        <f>'C. Masterfiles'!E91</f>
        <v>Voice Minutes</v>
      </c>
      <c r="F72" s="409">
        <f>'11.Service pricing'!M56</f>
        <v>0.43724322532810145</v>
      </c>
      <c r="G72" s="413">
        <v>0.11722764709798478</v>
      </c>
      <c r="H72" s="388">
        <f t="shared" si="2"/>
        <v>2.7298643805640106</v>
      </c>
    </row>
    <row r="73" spans="3:8" ht="12.75">
      <c r="C73" s="291" t="str">
        <f>'C. Masterfiles'!C92</f>
        <v>S09</v>
      </c>
      <c r="D73" s="291" t="str">
        <f>'C. Masterfiles'!D92</f>
        <v>Transit calls</v>
      </c>
      <c r="E73" s="291" t="str">
        <f>'C. Masterfiles'!E92</f>
        <v>Voice Minutes</v>
      </c>
      <c r="F73" s="409">
        <f>'11.Service pricing'!M57</f>
        <v>0.48448021704851835</v>
      </c>
      <c r="G73" s="413">
        <v>0.07803160189113463</v>
      </c>
      <c r="H73" s="388">
        <f t="shared" si="2"/>
        <v>5.208769335844704</v>
      </c>
    </row>
    <row r="74" spans="3:8" ht="12.75">
      <c r="C74" s="291" t="str">
        <f>'C. Masterfiles'!C93</f>
        <v>S10</v>
      </c>
      <c r="D74" s="291" t="str">
        <f>'C. Masterfiles'!D93</f>
        <v>Calls to directory enquiries, emergency &amp; helpdesk</v>
      </c>
      <c r="E74" s="291" t="str">
        <f>'C. Masterfiles'!E93</f>
        <v>Voice Minutes</v>
      </c>
      <c r="F74" s="409">
        <f>'11.Service pricing'!M58</f>
        <v>10.271038905521563</v>
      </c>
      <c r="G74" s="413">
        <v>11.250950758541524</v>
      </c>
      <c r="H74" s="388">
        <f t="shared" si="2"/>
        <v>-0.0870959151853038</v>
      </c>
    </row>
    <row r="75" spans="3:8" ht="12.75">
      <c r="C75" s="291" t="str">
        <f>'C. Masterfiles'!C94</f>
        <v>S11</v>
      </c>
      <c r="D75" s="291" t="str">
        <f>'C. Masterfiles'!D94</f>
        <v>Calls to non-geographic numbers</v>
      </c>
      <c r="E75" s="291" t="str">
        <f>'C. Masterfiles'!E94</f>
        <v>Voice Minutes</v>
      </c>
      <c r="F75" s="409">
        <f>'11.Service pricing'!M59</f>
        <v>9.105870544833031</v>
      </c>
      <c r="G75" s="413">
        <v>9.974619126259428</v>
      </c>
      <c r="H75" s="388">
        <f t="shared" si="2"/>
        <v>-0.08709591518530346</v>
      </c>
    </row>
    <row r="76" spans="3:8" ht="12.75">
      <c r="C76" s="291" t="str">
        <f>'C. Masterfiles'!C95</f>
        <v>S12</v>
      </c>
      <c r="D76" s="291" t="str">
        <f>'C. Masterfiles'!D95</f>
        <v>Internet dial-up calls</v>
      </c>
      <c r="E76" s="291" t="str">
        <f>'C. Masterfiles'!E95</f>
        <v>Voice Minutes</v>
      </c>
      <c r="F76" s="409">
        <f>'11.Service pricing'!M60</f>
        <v>0.3901698690062478</v>
      </c>
      <c r="G76" s="413">
        <v>0.0984097352123494</v>
      </c>
      <c r="H76" s="388">
        <f t="shared" si="2"/>
        <v>2.9647486924371433</v>
      </c>
    </row>
    <row r="78" spans="3:8" ht="12.75">
      <c r="C78" s="460" t="s">
        <v>843</v>
      </c>
      <c r="D78" s="462"/>
      <c r="E78" s="463"/>
      <c r="F78" s="92" t="s">
        <v>620</v>
      </c>
      <c r="G78" s="92" t="s">
        <v>713</v>
      </c>
      <c r="H78" s="92" t="s">
        <v>621</v>
      </c>
    </row>
    <row r="79" spans="3:8" ht="12.75">
      <c r="C79" s="461"/>
      <c r="D79" s="464"/>
      <c r="E79" s="465"/>
      <c r="F79" s="92" t="str">
        <f>G79</f>
        <v>Euro</v>
      </c>
      <c r="G79" s="92" t="str">
        <f>'C. Masterfiles'!D110</f>
        <v>Euro</v>
      </c>
      <c r="H79" s="92" t="str">
        <f>G79</f>
        <v>Euro</v>
      </c>
    </row>
    <row r="80" spans="3:8" ht="12.75">
      <c r="C80" s="103" t="s">
        <v>634</v>
      </c>
      <c r="D80" s="103" t="s">
        <v>686</v>
      </c>
      <c r="E80" s="90" t="s">
        <v>652</v>
      </c>
      <c r="F80" s="92">
        <f>F64</f>
        <v>2010</v>
      </c>
      <c r="G80" s="92">
        <f>F80</f>
        <v>2010</v>
      </c>
      <c r="H80" s="92">
        <f>G80</f>
        <v>2010</v>
      </c>
    </row>
    <row r="81" spans="3:8" ht="12.75">
      <c r="C81" s="291" t="str">
        <f aca="true" t="shared" si="3" ref="C81:E92">C65</f>
        <v>S01</v>
      </c>
      <c r="D81" s="291" t="str">
        <f t="shared" si="3"/>
        <v>On-net local calls</v>
      </c>
      <c r="E81" s="291" t="str">
        <f t="shared" si="3"/>
        <v>Voice Minutes</v>
      </c>
      <c r="F81" s="409">
        <f>'11.Service pricing'!I49</f>
        <v>0.02164990832369412</v>
      </c>
      <c r="G81" s="413">
        <v>0.011261122367060929</v>
      </c>
      <c r="H81" s="388">
        <f>IF(G81="","",F81/G81-1)</f>
        <v>0.92253557132286</v>
      </c>
    </row>
    <row r="82" spans="3:8" ht="12.75">
      <c r="C82" s="291" t="str">
        <f t="shared" si="3"/>
        <v>S02</v>
      </c>
      <c r="D82" s="291" t="str">
        <f t="shared" si="3"/>
        <v>On-net national calls</v>
      </c>
      <c r="E82" s="291" t="str">
        <f t="shared" si="3"/>
        <v>Voice Minutes</v>
      </c>
      <c r="F82" s="409">
        <f>'11.Service pricing'!I50</f>
        <v>0.049998520870934066</v>
      </c>
      <c r="G82" s="413">
        <v>0.00985300774585974</v>
      </c>
      <c r="H82" s="388">
        <f aca="true" t="shared" si="4" ref="H82:H92">IF(G82="","",F82/G82-1)</f>
        <v>4.074442460673349</v>
      </c>
    </row>
    <row r="83" spans="3:8" ht="12.75">
      <c r="C83" s="291" t="str">
        <f t="shared" si="3"/>
        <v>S03</v>
      </c>
      <c r="D83" s="291" t="str">
        <f t="shared" si="3"/>
        <v>Originating calls (local)</v>
      </c>
      <c r="E83" s="291" t="str">
        <f t="shared" si="3"/>
        <v>Voice Minutes</v>
      </c>
      <c r="F83" s="409">
        <f>'11.Service pricing'!I51</f>
        <v>0.006287254248899083</v>
      </c>
      <c r="G83" s="413">
        <v>0.006640076685866157</v>
      </c>
      <c r="H83" s="388">
        <f t="shared" si="4"/>
        <v>-0.053135295518209946</v>
      </c>
    </row>
    <row r="84" spans="3:8" ht="12.75">
      <c r="C84" s="291" t="str">
        <f t="shared" si="3"/>
        <v>S04</v>
      </c>
      <c r="D84" s="291" t="str">
        <f t="shared" si="3"/>
        <v>Originating calls (national) </v>
      </c>
      <c r="E84" s="291" t="str">
        <f t="shared" si="3"/>
        <v>Voice Minutes</v>
      </c>
      <c r="F84" s="409">
        <f>'11.Service pricing'!I52</f>
        <v>0.03145497913866612</v>
      </c>
      <c r="G84" s="413">
        <v>0.008415503765794422</v>
      </c>
      <c r="H84" s="388">
        <f t="shared" si="4"/>
        <v>2.737741674659779</v>
      </c>
    </row>
    <row r="85" spans="3:8" ht="12.75">
      <c r="C85" s="291" t="str">
        <f t="shared" si="3"/>
        <v>S05</v>
      </c>
      <c r="D85" s="291" t="str">
        <f t="shared" si="3"/>
        <v>Originating calls (international)</v>
      </c>
      <c r="E85" s="291" t="str">
        <f t="shared" si="3"/>
        <v>Voice Minutes</v>
      </c>
      <c r="F85" s="409">
        <f>'11.Service pricing'!I53</f>
        <v>0.02658816747670117</v>
      </c>
      <c r="G85" s="413">
        <v>0.006706141937172148</v>
      </c>
      <c r="H85" s="388">
        <f t="shared" si="4"/>
        <v>2.9647486924371442</v>
      </c>
    </row>
    <row r="86" spans="3:8" ht="12.75">
      <c r="C86" s="291" t="str">
        <f t="shared" si="3"/>
        <v>S06</v>
      </c>
      <c r="D86" s="291" t="str">
        <f t="shared" si="3"/>
        <v>Terminating calls (local)</v>
      </c>
      <c r="E86" s="291" t="str">
        <f t="shared" si="3"/>
        <v>Voice Minutes</v>
      </c>
      <c r="F86" s="409">
        <f>'11.Service pricing'!I54</f>
        <v>0.006722383738461283</v>
      </c>
      <c r="G86" s="413">
        <v>0.007138698414240225</v>
      </c>
      <c r="H86" s="388">
        <f t="shared" si="4"/>
        <v>-0.05831800863704806</v>
      </c>
    </row>
    <row r="87" spans="3:8" ht="12.75">
      <c r="C87" s="291" t="str">
        <f t="shared" si="3"/>
        <v>S07</v>
      </c>
      <c r="D87" s="291" t="str">
        <f t="shared" si="3"/>
        <v>Terminating calls (national) </v>
      </c>
      <c r="E87" s="291" t="str">
        <f t="shared" si="3"/>
        <v>Voice Minutes</v>
      </c>
      <c r="F87" s="409">
        <f>'11.Service pricing'!I55</f>
        <v>0.0320188948293833</v>
      </c>
      <c r="G87" s="413">
        <v>0.009056996694766594</v>
      </c>
      <c r="H87" s="388">
        <f t="shared" si="4"/>
        <v>2.535266259717725</v>
      </c>
    </row>
    <row r="88" spans="3:8" ht="12.75">
      <c r="C88" s="291" t="str">
        <f t="shared" si="3"/>
        <v>S08</v>
      </c>
      <c r="D88" s="291" t="str">
        <f t="shared" si="3"/>
        <v>Terminating calls (international)</v>
      </c>
      <c r="E88" s="291" t="str">
        <f t="shared" si="3"/>
        <v>Voice Minutes</v>
      </c>
      <c r="F88" s="409">
        <f>'11.Service pricing'!I56</f>
        <v>0.027073883921244674</v>
      </c>
      <c r="G88" s="413">
        <v>0.007258677838884507</v>
      </c>
      <c r="H88" s="388">
        <f t="shared" si="4"/>
        <v>2.729864380564011</v>
      </c>
    </row>
    <row r="89" spans="3:8" ht="12.75">
      <c r="C89" s="291" t="str">
        <f t="shared" si="3"/>
        <v>S09</v>
      </c>
      <c r="D89" s="291" t="str">
        <f t="shared" si="3"/>
        <v>Transit calls</v>
      </c>
      <c r="E89" s="291" t="str">
        <f t="shared" si="3"/>
        <v>Voice Minutes</v>
      </c>
      <c r="F89" s="409">
        <f>'11.Service pricing'!I57</f>
        <v>0.029998775049443864</v>
      </c>
      <c r="G89" s="413">
        <v>0.004831678135673971</v>
      </c>
      <c r="H89" s="388">
        <f t="shared" si="4"/>
        <v>5.208769335844705</v>
      </c>
    </row>
    <row r="90" spans="3:8" ht="12.75">
      <c r="C90" s="291" t="str">
        <f t="shared" si="3"/>
        <v>S10</v>
      </c>
      <c r="D90" s="291" t="str">
        <f t="shared" si="3"/>
        <v>Calls to directory enquiries, emergency &amp; helpdesk</v>
      </c>
      <c r="E90" s="291" t="str">
        <f t="shared" si="3"/>
        <v>Voice Minutes</v>
      </c>
      <c r="F90" s="409">
        <f>'11.Service pricing'!I58</f>
        <v>0.6359776412087655</v>
      </c>
      <c r="G90" s="413">
        <v>0.6966532977425093</v>
      </c>
      <c r="H90" s="388">
        <f t="shared" si="4"/>
        <v>-0.08709591518530369</v>
      </c>
    </row>
    <row r="91" spans="3:8" ht="12.75">
      <c r="C91" s="291" t="str">
        <f t="shared" si="3"/>
        <v>S11</v>
      </c>
      <c r="D91" s="291" t="str">
        <f t="shared" si="3"/>
        <v>Calls to non-geographic numbers</v>
      </c>
      <c r="E91" s="291" t="str">
        <f t="shared" si="3"/>
        <v>Voice Minutes</v>
      </c>
      <c r="F91" s="409">
        <f>'11.Service pricing'!I59</f>
        <v>0.5638309934881135</v>
      </c>
      <c r="G91" s="413">
        <v>0.6176234753101814</v>
      </c>
      <c r="H91" s="388">
        <f t="shared" si="4"/>
        <v>-0.08709591518530335</v>
      </c>
    </row>
    <row r="92" spans="3:8" ht="12.75">
      <c r="C92" s="291" t="str">
        <f t="shared" si="3"/>
        <v>S12</v>
      </c>
      <c r="D92" s="291" t="str">
        <f t="shared" si="3"/>
        <v>Internet dial-up calls</v>
      </c>
      <c r="E92" s="291" t="str">
        <f t="shared" si="3"/>
        <v>Voice Minutes</v>
      </c>
      <c r="F92" s="409">
        <f>'11.Service pricing'!I60</f>
        <v>0.02415912501586674</v>
      </c>
      <c r="G92" s="413">
        <v>0.006093482056492223</v>
      </c>
      <c r="H92" s="388">
        <f t="shared" si="4"/>
        <v>2.964748692437144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112"/>
  <sheetViews>
    <sheetView zoomScale="145" zoomScaleNormal="145" zoomScalePageLayoutView="0" workbookViewId="0" topLeftCell="A1">
      <selection activeCell="D10" sqref="D10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5.7109375" style="1" customWidth="1"/>
    <col min="4" max="4" width="45.7109375" style="1" customWidth="1"/>
    <col min="5" max="5" width="15.7109375" style="1" customWidth="1"/>
    <col min="6" max="6" width="11.57421875" style="1" customWidth="1"/>
    <col min="7" max="7" width="57.140625" style="1" customWidth="1"/>
    <col min="8" max="9" width="9.140625" style="1" customWidth="1"/>
    <col min="10" max="10" width="35.7109375" style="1" customWidth="1"/>
    <col min="11" max="11" width="22.421875" style="1" customWidth="1"/>
    <col min="12" max="12" width="36.421875" style="1" customWidth="1"/>
    <col min="13" max="13" width="16.421875" style="1" customWidth="1"/>
    <col min="14" max="14" width="9.140625" style="1" customWidth="1"/>
    <col min="15" max="15" width="21.8515625" style="1" customWidth="1"/>
    <col min="16" max="16" width="22.421875" style="1" customWidth="1"/>
    <col min="17" max="16384" width="9.140625" style="1" customWidth="1"/>
  </cols>
  <sheetData>
    <row r="1" spans="1:3" s="252" customFormat="1" ht="23.25">
      <c r="A1" s="252" t="s">
        <v>673</v>
      </c>
      <c r="C1" s="253"/>
    </row>
    <row r="2" ht="12.75">
      <c r="C2" s="126"/>
    </row>
    <row r="3" spans="3:6" ht="12.75">
      <c r="C3" s="598" t="s">
        <v>247</v>
      </c>
      <c r="D3" s="257" t="s">
        <v>256</v>
      </c>
      <c r="E3" s="280"/>
      <c r="F3" s="280"/>
    </row>
    <row r="4" spans="3:6" ht="12.75">
      <c r="C4" s="599" t="s">
        <v>249</v>
      </c>
      <c r="D4" s="244" t="s">
        <v>257</v>
      </c>
      <c r="E4" s="243"/>
      <c r="F4" s="243"/>
    </row>
    <row r="5" spans="3:6" ht="12.75">
      <c r="C5" s="600" t="s">
        <v>251</v>
      </c>
      <c r="D5" s="323" t="s">
        <v>255</v>
      </c>
      <c r="E5" s="324"/>
      <c r="F5" s="324"/>
    </row>
    <row r="6" spans="3:6" ht="12.75">
      <c r="C6" s="601" t="s">
        <v>252</v>
      </c>
      <c r="D6" s="258" t="s">
        <v>255</v>
      </c>
      <c r="E6" s="281"/>
      <c r="F6" s="281"/>
    </row>
    <row r="7" spans="3:6" ht="12.75">
      <c r="C7" s="602" t="s">
        <v>254</v>
      </c>
      <c r="D7" s="259" t="s">
        <v>258</v>
      </c>
      <c r="E7" s="255"/>
      <c r="F7" s="255"/>
    </row>
    <row r="8" spans="2:5" s="59" customFormat="1" ht="15">
      <c r="B8" s="60"/>
      <c r="D8" s="60"/>
      <c r="E8" s="60"/>
    </row>
    <row r="10" spans="3:4" ht="12.75">
      <c r="C10" s="61" t="s">
        <v>852</v>
      </c>
      <c r="D10" s="54"/>
    </row>
    <row r="11" spans="3:4" ht="12.75">
      <c r="C11" s="61"/>
      <c r="D11" s="54"/>
    </row>
    <row r="12" spans="1:4" s="241" customFormat="1" ht="12.75">
      <c r="A12" s="148"/>
      <c r="B12" s="148"/>
      <c r="C12" s="290" t="s">
        <v>634</v>
      </c>
      <c r="D12" s="290" t="s">
        <v>651</v>
      </c>
    </row>
    <row r="13" spans="3:4" ht="12.75">
      <c r="C13" s="399" t="s">
        <v>853</v>
      </c>
      <c r="D13" s="330" t="s">
        <v>888</v>
      </c>
    </row>
    <row r="14" spans="3:4" ht="12.75">
      <c r="C14" s="399" t="s">
        <v>854</v>
      </c>
      <c r="D14" s="330" t="s">
        <v>889</v>
      </c>
    </row>
    <row r="15" spans="3:4" ht="12.75">
      <c r="C15" s="399" t="s">
        <v>855</v>
      </c>
      <c r="D15" s="330" t="s">
        <v>890</v>
      </c>
    </row>
    <row r="16" spans="3:4" ht="12.75">
      <c r="C16" s="399" t="s">
        <v>856</v>
      </c>
      <c r="D16" s="330" t="s">
        <v>891</v>
      </c>
    </row>
    <row r="17" spans="3:4" ht="12.75">
      <c r="C17" s="399" t="s">
        <v>857</v>
      </c>
      <c r="D17" s="330" t="s">
        <v>892</v>
      </c>
    </row>
    <row r="18" spans="3:4" ht="12.75">
      <c r="C18" s="399" t="s">
        <v>858</v>
      </c>
      <c r="D18" s="330" t="s">
        <v>893</v>
      </c>
    </row>
    <row r="19" spans="3:4" ht="12.75">
      <c r="C19" s="399" t="s">
        <v>859</v>
      </c>
      <c r="D19" s="330" t="s">
        <v>894</v>
      </c>
    </row>
    <row r="20" spans="3:4" ht="12.75">
      <c r="C20" s="399" t="s">
        <v>860</v>
      </c>
      <c r="D20" s="330" t="s">
        <v>895</v>
      </c>
    </row>
    <row r="21" spans="3:4" ht="12.75">
      <c r="C21" s="399" t="s">
        <v>861</v>
      </c>
      <c r="D21" s="330" t="s">
        <v>896</v>
      </c>
    </row>
    <row r="22" spans="3:4" ht="12.75">
      <c r="C22" s="399" t="s">
        <v>862</v>
      </c>
      <c r="D22" s="330" t="s">
        <v>897</v>
      </c>
    </row>
    <row r="23" spans="3:4" ht="12.75">
      <c r="C23" s="399" t="s">
        <v>863</v>
      </c>
      <c r="D23" s="330" t="s">
        <v>898</v>
      </c>
    </row>
    <row r="24" spans="3:4" ht="12.75">
      <c r="C24" s="399" t="s">
        <v>864</v>
      </c>
      <c r="D24" s="330" t="s">
        <v>899</v>
      </c>
    </row>
    <row r="25" spans="3:4" ht="12.75">
      <c r="C25" s="399" t="s">
        <v>865</v>
      </c>
      <c r="D25" s="330" t="s">
        <v>900</v>
      </c>
    </row>
    <row r="26" spans="3:4" ht="12.75">
      <c r="C26" s="399" t="s">
        <v>866</v>
      </c>
      <c r="D26" s="330" t="s">
        <v>901</v>
      </c>
    </row>
    <row r="27" spans="3:4" ht="12.75">
      <c r="C27" s="399" t="s">
        <v>867</v>
      </c>
      <c r="D27" s="330" t="s">
        <v>902</v>
      </c>
    </row>
    <row r="28" spans="3:4" ht="12.75">
      <c r="C28" s="399" t="s">
        <v>868</v>
      </c>
      <c r="D28" s="330" t="s">
        <v>903</v>
      </c>
    </row>
    <row r="29" spans="3:4" ht="12.75">
      <c r="C29" s="399" t="s">
        <v>869</v>
      </c>
      <c r="D29" s="330" t="s">
        <v>904</v>
      </c>
    </row>
    <row r="30" spans="3:4" ht="12.75">
      <c r="C30" s="399" t="s">
        <v>870</v>
      </c>
      <c r="D30" s="330" t="s">
        <v>905</v>
      </c>
    </row>
    <row r="31" spans="3:4" ht="12.75">
      <c r="C31" s="399" t="s">
        <v>871</v>
      </c>
      <c r="D31" s="330" t="s">
        <v>906</v>
      </c>
    </row>
    <row r="32" spans="3:4" ht="12.75">
      <c r="C32" s="399" t="s">
        <v>872</v>
      </c>
      <c r="D32" s="330" t="s">
        <v>907</v>
      </c>
    </row>
    <row r="33" spans="3:4" ht="12.75">
      <c r="C33" s="399" t="s">
        <v>873</v>
      </c>
      <c r="D33" s="330" t="s">
        <v>908</v>
      </c>
    </row>
    <row r="34" spans="3:4" ht="12.75">
      <c r="C34" s="399" t="s">
        <v>874</v>
      </c>
      <c r="D34" s="330" t="s">
        <v>909</v>
      </c>
    </row>
    <row r="35" spans="3:4" ht="12.75">
      <c r="C35" s="399" t="s">
        <v>875</v>
      </c>
      <c r="D35" s="330" t="s">
        <v>910</v>
      </c>
    </row>
    <row r="36" spans="3:4" ht="12.75">
      <c r="C36" s="399" t="s">
        <v>876</v>
      </c>
      <c r="D36" s="330" t="s">
        <v>911</v>
      </c>
    </row>
    <row r="37" spans="3:4" ht="12.75">
      <c r="C37" s="399" t="s">
        <v>877</v>
      </c>
      <c r="D37" s="330" t="s">
        <v>912</v>
      </c>
    </row>
    <row r="38" spans="3:4" ht="12.75">
      <c r="C38" s="399" t="s">
        <v>878</v>
      </c>
      <c r="D38" s="330" t="s">
        <v>913</v>
      </c>
    </row>
    <row r="39" spans="3:4" ht="12.75">
      <c r="C39" s="399" t="s">
        <v>879</v>
      </c>
      <c r="D39" s="330" t="s">
        <v>914</v>
      </c>
    </row>
    <row r="40" spans="3:4" ht="12.75">
      <c r="C40" s="399" t="s">
        <v>880</v>
      </c>
      <c r="D40" s="330" t="s">
        <v>915</v>
      </c>
    </row>
    <row r="41" spans="3:4" ht="12.75">
      <c r="C41" s="399" t="s">
        <v>881</v>
      </c>
      <c r="D41" s="330" t="s">
        <v>916</v>
      </c>
    </row>
    <row r="42" spans="3:4" ht="12.75">
      <c r="C42" s="399" t="s">
        <v>882</v>
      </c>
      <c r="D42" s="330" t="s">
        <v>917</v>
      </c>
    </row>
    <row r="43" spans="3:4" ht="12.75">
      <c r="C43" s="399" t="s">
        <v>883</v>
      </c>
      <c r="D43" s="330" t="s">
        <v>918</v>
      </c>
    </row>
    <row r="44" spans="3:4" ht="12.75">
      <c r="C44" s="399" t="s">
        <v>884</v>
      </c>
      <c r="D44" s="330" t="s">
        <v>919</v>
      </c>
    </row>
    <row r="45" spans="3:4" ht="12.75">
      <c r="C45" s="399" t="s">
        <v>885</v>
      </c>
      <c r="D45" s="330" t="s">
        <v>920</v>
      </c>
    </row>
    <row r="46" spans="3:4" ht="12.75">
      <c r="C46" s="399" t="s">
        <v>886</v>
      </c>
      <c r="D46" s="330" t="s">
        <v>921</v>
      </c>
    </row>
    <row r="47" spans="3:4" ht="12.75">
      <c r="C47" s="399" t="s">
        <v>887</v>
      </c>
      <c r="D47" s="330" t="s">
        <v>922</v>
      </c>
    </row>
    <row r="50" spans="3:5" ht="12.75">
      <c r="C50" s="61" t="s">
        <v>653</v>
      </c>
      <c r="D50" s="62"/>
      <c r="E50" s="63"/>
    </row>
    <row r="51" spans="3:5" ht="12.75">
      <c r="C51" s="61"/>
      <c r="D51" s="62"/>
      <c r="E51" s="63"/>
    </row>
    <row r="52" spans="3:7" s="241" customFormat="1" ht="12.75">
      <c r="C52" s="290" t="s">
        <v>634</v>
      </c>
      <c r="D52" s="290" t="s">
        <v>651</v>
      </c>
      <c r="E52" s="290" t="s">
        <v>633</v>
      </c>
      <c r="F52" s="290" t="s">
        <v>726</v>
      </c>
      <c r="G52" s="1"/>
    </row>
    <row r="53" spans="3:6" ht="12.75">
      <c r="C53" s="330" t="s">
        <v>654</v>
      </c>
      <c r="D53" s="538" t="s">
        <v>78</v>
      </c>
      <c r="E53" s="537" t="s">
        <v>77</v>
      </c>
      <c r="F53" s="543" t="s">
        <v>702</v>
      </c>
    </row>
    <row r="54" spans="3:6" ht="12.75">
      <c r="C54" s="330" t="s">
        <v>655</v>
      </c>
      <c r="D54" s="538" t="s">
        <v>80</v>
      </c>
      <c r="E54" s="537" t="s">
        <v>79</v>
      </c>
      <c r="F54" s="543" t="s">
        <v>702</v>
      </c>
    </row>
    <row r="55" spans="3:6" ht="12.75">
      <c r="C55" s="330" t="s">
        <v>656</v>
      </c>
      <c r="D55" s="538" t="s">
        <v>82</v>
      </c>
      <c r="E55" s="537" t="s">
        <v>81</v>
      </c>
      <c r="F55" s="543" t="s">
        <v>701</v>
      </c>
    </row>
    <row r="56" spans="3:6" ht="12.75">
      <c r="C56" s="330" t="s">
        <v>657</v>
      </c>
      <c r="D56" s="538" t="s">
        <v>84</v>
      </c>
      <c r="E56" s="537" t="s">
        <v>83</v>
      </c>
      <c r="F56" s="543" t="s">
        <v>701</v>
      </c>
    </row>
    <row r="57" spans="3:6" ht="12.75">
      <c r="C57" s="330" t="s">
        <v>658</v>
      </c>
      <c r="D57" s="538" t="s">
        <v>85</v>
      </c>
      <c r="E57" s="537" t="s">
        <v>778</v>
      </c>
      <c r="F57" s="309" t="s">
        <v>702</v>
      </c>
    </row>
    <row r="58" spans="3:6" ht="12.75">
      <c r="C58" s="330" t="s">
        <v>659</v>
      </c>
      <c r="D58" s="538" t="s">
        <v>183</v>
      </c>
      <c r="E58" s="401" t="s">
        <v>814</v>
      </c>
      <c r="F58" s="309" t="s">
        <v>702</v>
      </c>
    </row>
    <row r="59" spans="3:6" ht="12.75">
      <c r="C59" s="330" t="s">
        <v>660</v>
      </c>
      <c r="D59" s="330" t="s">
        <v>928</v>
      </c>
      <c r="E59" s="401" t="s">
        <v>930</v>
      </c>
      <c r="F59" s="309" t="s">
        <v>702</v>
      </c>
    </row>
    <row r="60" spans="3:6" ht="12.75">
      <c r="C60" s="330" t="s">
        <v>661</v>
      </c>
      <c r="D60" s="330" t="s">
        <v>929</v>
      </c>
      <c r="E60" s="401" t="s">
        <v>931</v>
      </c>
      <c r="F60" s="309" t="s">
        <v>702</v>
      </c>
    </row>
    <row r="61" spans="3:6" ht="12.75">
      <c r="C61" s="330" t="s">
        <v>662</v>
      </c>
      <c r="D61" s="400" t="s">
        <v>813</v>
      </c>
      <c r="E61" s="401" t="s">
        <v>575</v>
      </c>
      <c r="F61" s="309" t="s">
        <v>702</v>
      </c>
    </row>
    <row r="62" spans="3:6" ht="12.75">
      <c r="C62" s="330" t="s">
        <v>663</v>
      </c>
      <c r="D62" s="400" t="s">
        <v>926</v>
      </c>
      <c r="E62" s="401" t="s">
        <v>927</v>
      </c>
      <c r="F62" s="309" t="s">
        <v>702</v>
      </c>
    </row>
    <row r="63" spans="3:6" ht="12.75">
      <c r="C63" s="475" t="s">
        <v>737</v>
      </c>
      <c r="D63" s="475" t="s">
        <v>736</v>
      </c>
      <c r="E63" s="475" t="s">
        <v>737</v>
      </c>
      <c r="F63" s="475" t="s">
        <v>737</v>
      </c>
    </row>
    <row r="66" spans="3:4" ht="12.75">
      <c r="C66" s="61" t="s">
        <v>678</v>
      </c>
      <c r="D66" s="62"/>
    </row>
    <row r="67" spans="3:4" ht="12.75">
      <c r="C67" s="61"/>
      <c r="D67" s="62"/>
    </row>
    <row r="68" spans="3:5" s="241" customFormat="1" ht="12.75">
      <c r="C68" s="290" t="s">
        <v>707</v>
      </c>
      <c r="D68" s="290" t="s">
        <v>651</v>
      </c>
      <c r="E68" s="290" t="s">
        <v>726</v>
      </c>
    </row>
    <row r="69" spans="3:5" ht="12.75">
      <c r="C69" s="403" t="s">
        <v>664</v>
      </c>
      <c r="D69" s="537" t="s">
        <v>99</v>
      </c>
      <c r="E69" s="401" t="s">
        <v>701</v>
      </c>
    </row>
    <row r="70" spans="3:5" ht="12.75">
      <c r="C70" s="403" t="s">
        <v>665</v>
      </c>
      <c r="D70" s="401" t="s">
        <v>86</v>
      </c>
      <c r="E70" s="401" t="s">
        <v>701</v>
      </c>
    </row>
    <row r="71" spans="3:5" ht="12.75">
      <c r="C71" s="403" t="s">
        <v>666</v>
      </c>
      <c r="D71" s="401" t="s">
        <v>87</v>
      </c>
      <c r="E71" s="401" t="s">
        <v>701</v>
      </c>
    </row>
    <row r="72" spans="3:5" ht="12.75">
      <c r="C72" s="403" t="s">
        <v>667</v>
      </c>
      <c r="D72" s="401" t="s">
        <v>88</v>
      </c>
      <c r="E72" s="401" t="s">
        <v>701</v>
      </c>
    </row>
    <row r="73" spans="3:5" ht="12.75">
      <c r="C73" s="403" t="s">
        <v>668</v>
      </c>
      <c r="D73" s="401" t="s">
        <v>100</v>
      </c>
      <c r="E73" s="401" t="s">
        <v>701</v>
      </c>
    </row>
    <row r="74" spans="3:5" ht="12.75">
      <c r="C74" s="403" t="s">
        <v>669</v>
      </c>
      <c r="D74" s="401" t="s">
        <v>101</v>
      </c>
      <c r="E74" s="401" t="s">
        <v>701</v>
      </c>
    </row>
    <row r="75" spans="3:5" ht="12.75">
      <c r="C75" s="403" t="s">
        <v>932</v>
      </c>
      <c r="D75" s="401" t="s">
        <v>102</v>
      </c>
      <c r="E75" s="401" t="s">
        <v>701</v>
      </c>
    </row>
    <row r="76" spans="3:5" ht="12.75">
      <c r="C76" s="403" t="s">
        <v>104</v>
      </c>
      <c r="D76" s="401" t="s">
        <v>89</v>
      </c>
      <c r="E76" s="401" t="s">
        <v>701</v>
      </c>
    </row>
    <row r="77" spans="3:5" ht="12.75">
      <c r="C77" s="403" t="s">
        <v>105</v>
      </c>
      <c r="D77" s="401" t="s">
        <v>103</v>
      </c>
      <c r="E77" s="401" t="s">
        <v>701</v>
      </c>
    </row>
    <row r="78" spans="3:5" ht="12.75">
      <c r="C78" s="475" t="s">
        <v>737</v>
      </c>
      <c r="D78" s="475" t="s">
        <v>736</v>
      </c>
      <c r="E78" s="475" t="s">
        <v>737</v>
      </c>
    </row>
    <row r="81" spans="3:6" ht="12.75">
      <c r="C81" s="61" t="s">
        <v>637</v>
      </c>
      <c r="D81" s="62"/>
      <c r="E81" s="62"/>
      <c r="F81" s="63"/>
    </row>
    <row r="82" spans="3:6" ht="12.75">
      <c r="C82" s="61"/>
      <c r="D82" s="62"/>
      <c r="E82" s="62"/>
      <c r="F82" s="63"/>
    </row>
    <row r="83" spans="3:6" s="241" customFormat="1" ht="12.75">
      <c r="C83" s="290" t="s">
        <v>707</v>
      </c>
      <c r="D83" s="290" t="s">
        <v>651</v>
      </c>
      <c r="E83" s="290" t="s">
        <v>652</v>
      </c>
      <c r="F83" s="290" t="s">
        <v>793</v>
      </c>
    </row>
    <row r="84" spans="3:6" ht="12.75">
      <c r="C84" s="403" t="s">
        <v>766</v>
      </c>
      <c r="D84" s="401" t="s">
        <v>90</v>
      </c>
      <c r="E84" s="404" t="s">
        <v>783</v>
      </c>
      <c r="F84" s="425" t="s">
        <v>794</v>
      </c>
    </row>
    <row r="85" spans="3:6" ht="12.75">
      <c r="C85" s="403" t="s">
        <v>767</v>
      </c>
      <c r="D85" s="401" t="s">
        <v>91</v>
      </c>
      <c r="E85" s="404" t="s">
        <v>783</v>
      </c>
      <c r="F85" s="425" t="s">
        <v>794</v>
      </c>
    </row>
    <row r="86" spans="3:6" ht="12.75">
      <c r="C86" s="403" t="s">
        <v>768</v>
      </c>
      <c r="D86" s="537" t="s">
        <v>223</v>
      </c>
      <c r="E86" s="404" t="s">
        <v>783</v>
      </c>
      <c r="F86" s="425" t="s">
        <v>794</v>
      </c>
    </row>
    <row r="87" spans="3:6" ht="12.75">
      <c r="C87" s="403" t="s">
        <v>769</v>
      </c>
      <c r="D87" s="537" t="s">
        <v>224</v>
      </c>
      <c r="E87" s="404" t="s">
        <v>783</v>
      </c>
      <c r="F87" s="425" t="s">
        <v>794</v>
      </c>
    </row>
    <row r="88" spans="3:6" ht="12.75">
      <c r="C88" s="403" t="s">
        <v>770</v>
      </c>
      <c r="D88" s="537" t="s">
        <v>225</v>
      </c>
      <c r="E88" s="404" t="s">
        <v>783</v>
      </c>
      <c r="F88" s="425" t="s">
        <v>794</v>
      </c>
    </row>
    <row r="89" spans="3:6" ht="12.75">
      <c r="C89" s="403" t="s">
        <v>771</v>
      </c>
      <c r="D89" s="537" t="s">
        <v>226</v>
      </c>
      <c r="E89" s="404" t="s">
        <v>783</v>
      </c>
      <c r="F89" s="425" t="s">
        <v>795</v>
      </c>
    </row>
    <row r="90" spans="3:6" ht="12.75">
      <c r="C90" s="403" t="s">
        <v>772</v>
      </c>
      <c r="D90" s="537" t="s">
        <v>227</v>
      </c>
      <c r="E90" s="404" t="s">
        <v>783</v>
      </c>
      <c r="F90" s="425" t="s">
        <v>795</v>
      </c>
    </row>
    <row r="91" spans="3:6" ht="12.75">
      <c r="C91" s="403" t="s">
        <v>773</v>
      </c>
      <c r="D91" s="537" t="s">
        <v>228</v>
      </c>
      <c r="E91" s="404" t="s">
        <v>783</v>
      </c>
      <c r="F91" s="425" t="s">
        <v>795</v>
      </c>
    </row>
    <row r="92" spans="3:6" ht="12.75">
      <c r="C92" s="403" t="s">
        <v>774</v>
      </c>
      <c r="D92" s="401" t="s">
        <v>92</v>
      </c>
      <c r="E92" s="404" t="s">
        <v>783</v>
      </c>
      <c r="F92" s="425" t="s">
        <v>795</v>
      </c>
    </row>
    <row r="93" spans="3:6" ht="12.75">
      <c r="C93" s="403" t="s">
        <v>775</v>
      </c>
      <c r="D93" s="401" t="s">
        <v>93</v>
      </c>
      <c r="E93" s="404" t="s">
        <v>783</v>
      </c>
      <c r="F93" s="425" t="s">
        <v>794</v>
      </c>
    </row>
    <row r="94" spans="3:6" ht="12.75">
      <c r="C94" s="403" t="s">
        <v>776</v>
      </c>
      <c r="D94" s="401" t="s">
        <v>94</v>
      </c>
      <c r="E94" s="404" t="s">
        <v>783</v>
      </c>
      <c r="F94" s="425" t="s">
        <v>794</v>
      </c>
    </row>
    <row r="95" spans="3:6" ht="12.75">
      <c r="C95" s="403" t="s">
        <v>777</v>
      </c>
      <c r="D95" s="330" t="s">
        <v>95</v>
      </c>
      <c r="E95" s="404" t="s">
        <v>783</v>
      </c>
      <c r="F95" s="425" t="s">
        <v>794</v>
      </c>
    </row>
    <row r="96" spans="3:6" ht="12.75">
      <c r="C96" s="475" t="s">
        <v>737</v>
      </c>
      <c r="D96" s="475" t="s">
        <v>736</v>
      </c>
      <c r="E96" s="475" t="s">
        <v>737</v>
      </c>
      <c r="F96" s="475" t="s">
        <v>737</v>
      </c>
    </row>
    <row r="98" ht="12.75">
      <c r="C98" s="61" t="s">
        <v>639</v>
      </c>
    </row>
    <row r="99" spans="5:9" ht="12.75" hidden="1">
      <c r="E99" s="1">
        <f>D101</f>
        <v>2008</v>
      </c>
      <c r="F99" s="1">
        <f>D102</f>
        <v>2009</v>
      </c>
      <c r="G99" s="1">
        <f>D103</f>
        <v>2010</v>
      </c>
      <c r="H99" s="1">
        <f>D104</f>
        <v>2011</v>
      </c>
      <c r="I99" s="1">
        <f>D105</f>
        <v>2012</v>
      </c>
    </row>
    <row r="101" spans="3:4" ht="15">
      <c r="C101" s="403" t="s">
        <v>679</v>
      </c>
      <c r="D101" s="405">
        <v>2008</v>
      </c>
    </row>
    <row r="102" spans="3:4" ht="15">
      <c r="C102" s="403" t="s">
        <v>680</v>
      </c>
      <c r="D102" s="405">
        <f>D101+1</f>
        <v>2009</v>
      </c>
    </row>
    <row r="103" spans="3:4" ht="15">
      <c r="C103" s="403" t="s">
        <v>681</v>
      </c>
      <c r="D103" s="405">
        <f>D102+1</f>
        <v>2010</v>
      </c>
    </row>
    <row r="104" spans="3:4" ht="15">
      <c r="C104" s="403" t="s">
        <v>682</v>
      </c>
      <c r="D104" s="405">
        <f>D103+1</f>
        <v>2011</v>
      </c>
    </row>
    <row r="105" spans="3:4" ht="15">
      <c r="C105" s="403" t="s">
        <v>683</v>
      </c>
      <c r="D105" s="405">
        <f>D104+1</f>
        <v>2012</v>
      </c>
    </row>
    <row r="107" ht="12.75">
      <c r="C107" s="61" t="s">
        <v>640</v>
      </c>
    </row>
    <row r="108" ht="12.75">
      <c r="C108" s="61"/>
    </row>
    <row r="109" spans="3:5" ht="12.75">
      <c r="C109" s="290" t="s">
        <v>634</v>
      </c>
      <c r="D109" s="290" t="s">
        <v>651</v>
      </c>
      <c r="E109" s="290" t="s">
        <v>730</v>
      </c>
    </row>
    <row r="110" spans="3:5" ht="15">
      <c r="C110" s="403" t="s">
        <v>14</v>
      </c>
      <c r="D110" s="402" t="s">
        <v>815</v>
      </c>
      <c r="E110" s="406">
        <v>1</v>
      </c>
    </row>
    <row r="111" spans="3:5" ht="15">
      <c r="C111" s="403" t="s">
        <v>835</v>
      </c>
      <c r="D111" s="402" t="s">
        <v>12</v>
      </c>
      <c r="E111" s="406">
        <v>1.4</v>
      </c>
    </row>
    <row r="112" spans="3:5" ht="15">
      <c r="C112" s="403" t="s">
        <v>836</v>
      </c>
      <c r="D112" s="402" t="s">
        <v>933</v>
      </c>
      <c r="E112" s="406">
        <v>16.15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S39"/>
  <sheetViews>
    <sheetView zoomScale="145" zoomScaleNormal="145" zoomScalePageLayoutView="0" workbookViewId="0" topLeftCell="B1">
      <selection activeCell="D8" sqref="D8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8.00390625" style="1" customWidth="1"/>
    <col min="5" max="5" width="16.00390625" style="1" customWidth="1"/>
    <col min="6" max="9" width="13.57421875" style="1" customWidth="1"/>
    <col min="10" max="10" width="14.8515625" style="1" customWidth="1"/>
    <col min="11" max="16384" width="9.140625" style="1" customWidth="1"/>
  </cols>
  <sheetData>
    <row r="1" spans="1:3" s="252" customFormat="1" ht="23.25">
      <c r="A1" s="252" t="s">
        <v>674</v>
      </c>
      <c r="C1" s="253"/>
    </row>
    <row r="2" ht="12.75">
      <c r="C2" s="126"/>
    </row>
    <row r="3" spans="3:9" ht="12.75">
      <c r="C3" s="598" t="s">
        <v>247</v>
      </c>
      <c r="D3" s="257" t="s">
        <v>309</v>
      </c>
      <c r="E3" s="280"/>
      <c r="F3" s="280"/>
      <c r="G3" s="280"/>
      <c r="H3" s="280"/>
      <c r="I3" s="280"/>
    </row>
    <row r="4" spans="3:9" ht="12.75">
      <c r="C4" s="599" t="s">
        <v>249</v>
      </c>
      <c r="D4" s="244" t="s">
        <v>259</v>
      </c>
      <c r="E4" s="243"/>
      <c r="F4" s="243"/>
      <c r="G4" s="243"/>
      <c r="H4" s="243"/>
      <c r="I4" s="243"/>
    </row>
    <row r="5" spans="3:15" ht="12.75" customHeight="1">
      <c r="C5" s="603" t="s">
        <v>251</v>
      </c>
      <c r="D5" s="646" t="s">
        <v>179</v>
      </c>
      <c r="E5" s="642"/>
      <c r="F5" s="642"/>
      <c r="G5" s="642"/>
      <c r="H5" s="642"/>
      <c r="I5" s="642"/>
      <c r="J5" s="643"/>
      <c r="K5" s="643"/>
      <c r="L5" s="643"/>
      <c r="M5" s="643"/>
      <c r="N5" s="643"/>
      <c r="O5" s="643"/>
    </row>
    <row r="6" spans="3:15" ht="12.75" customHeight="1">
      <c r="C6" s="603"/>
      <c r="D6" s="645" t="s">
        <v>180</v>
      </c>
      <c r="E6" s="641"/>
      <c r="F6" s="641"/>
      <c r="G6" s="641"/>
      <c r="H6" s="641"/>
      <c r="I6" s="641"/>
      <c r="J6" s="644"/>
      <c r="K6" s="644"/>
      <c r="L6" s="644"/>
      <c r="M6" s="644"/>
      <c r="N6" s="644"/>
      <c r="O6" s="644"/>
    </row>
    <row r="7" spans="3:15" ht="12.75" customHeight="1">
      <c r="C7" s="603"/>
      <c r="D7" s="645" t="s">
        <v>181</v>
      </c>
      <c r="E7" s="641"/>
      <c r="F7" s="641"/>
      <c r="G7" s="641"/>
      <c r="H7" s="641"/>
      <c r="I7" s="641"/>
      <c r="J7" s="644"/>
      <c r="K7" s="644"/>
      <c r="L7" s="644"/>
      <c r="M7" s="644"/>
      <c r="N7" s="644"/>
      <c r="O7" s="644"/>
    </row>
    <row r="8" spans="3:9" ht="12.75">
      <c r="C8" s="601" t="s">
        <v>252</v>
      </c>
      <c r="D8" s="258" t="s">
        <v>310</v>
      </c>
      <c r="E8" s="281"/>
      <c r="F8" s="281"/>
      <c r="G8" s="281"/>
      <c r="H8" s="281"/>
      <c r="I8" s="281"/>
    </row>
    <row r="9" spans="3:9" ht="12.75">
      <c r="C9" s="602" t="s">
        <v>254</v>
      </c>
      <c r="D9" s="259" t="s">
        <v>311</v>
      </c>
      <c r="E9" s="255"/>
      <c r="F9" s="255"/>
      <c r="G9" s="255"/>
      <c r="H9" s="255"/>
      <c r="I9" s="255"/>
    </row>
    <row r="12" spans="1:19" ht="15.75">
      <c r="A12" s="28"/>
      <c r="B12" s="67" t="s">
        <v>582</v>
      </c>
      <c r="C12" s="68" t="s">
        <v>26</v>
      </c>
      <c r="E12" s="30"/>
      <c r="F12" s="30"/>
      <c r="G12" s="30"/>
      <c r="H12" s="30"/>
      <c r="I12" s="119"/>
      <c r="J12" s="119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5.75">
      <c r="A13" s="28"/>
      <c r="B13" s="67"/>
      <c r="C13" s="549" t="s">
        <v>272</v>
      </c>
      <c r="E13" s="30"/>
      <c r="F13" s="30"/>
      <c r="G13" s="30"/>
      <c r="H13" s="30"/>
      <c r="I13" s="119"/>
      <c r="J13" s="119"/>
      <c r="K13" s="28"/>
      <c r="L13" s="28"/>
      <c r="M13" s="28"/>
      <c r="N13" s="28"/>
      <c r="O13" s="28"/>
      <c r="P13" s="28"/>
      <c r="Q13" s="28"/>
      <c r="R13" s="28"/>
      <c r="S13" s="28"/>
    </row>
    <row r="14" spans="3:8" ht="12.75">
      <c r="C14" s="655" t="s">
        <v>27</v>
      </c>
      <c r="D14" s="656"/>
      <c r="E14" s="657"/>
      <c r="F14" s="658">
        <v>2009</v>
      </c>
      <c r="G14" s="659"/>
      <c r="H14" s="660"/>
    </row>
    <row r="15" spans="3:8" ht="51">
      <c r="C15" s="216"/>
      <c r="D15" s="216" t="s">
        <v>636</v>
      </c>
      <c r="E15" s="216" t="s">
        <v>633</v>
      </c>
      <c r="F15" s="216" t="s">
        <v>838</v>
      </c>
      <c r="G15" s="216" t="s">
        <v>733</v>
      </c>
      <c r="H15" s="216" t="s">
        <v>805</v>
      </c>
    </row>
    <row r="16" spans="3:8" ht="12.75">
      <c r="C16" s="111" t="str">
        <f>'C. Masterfiles'!C53</f>
        <v>N01</v>
      </c>
      <c r="D16" s="111" t="str">
        <f>'C. Masterfiles'!D53</f>
        <v>Remote Access Unit</v>
      </c>
      <c r="E16" s="111" t="str">
        <f>'C. Masterfiles'!E53</f>
        <v>RAU</v>
      </c>
      <c r="F16" s="344">
        <f>IF('3.Network Design Parameters'!F33&gt;0,AVERAGE('3.Network Design Parameters'!F33:G33),"")</f>
      </c>
      <c r="G16" s="345">
        <f>ROUNDUP('6.Network Design'!H248,0)</f>
        <v>523</v>
      </c>
      <c r="H16" s="346" t="e">
        <f>IF(F16=0,0,G16/F16-1)</f>
        <v>#VALUE!</v>
      </c>
    </row>
    <row r="17" spans="3:8" ht="12.75">
      <c r="C17" s="111" t="str">
        <f>'C. Masterfiles'!C54</f>
        <v>N02</v>
      </c>
      <c r="D17" s="111" t="str">
        <f>'C. Masterfiles'!D54</f>
        <v>Local Switch</v>
      </c>
      <c r="E17" s="111" t="str">
        <f>'C. Masterfiles'!E54</f>
        <v>LS</v>
      </c>
      <c r="F17" s="344">
        <f>IF('3.Network Design Parameters'!F34&gt;0,AVERAGE('3.Network Design Parameters'!F34:G34),"")</f>
      </c>
      <c r="G17" s="345">
        <f>ROUNDUP('6.Network Design'!H249,0)</f>
        <v>578</v>
      </c>
      <c r="H17" s="346" t="e">
        <f>IF(F17=0,0,G17/F17-1)</f>
        <v>#VALUE!</v>
      </c>
    </row>
    <row r="18" spans="3:8" ht="12.75">
      <c r="C18" s="111" t="str">
        <f>'C. Masterfiles'!C55</f>
        <v>N03</v>
      </c>
      <c r="D18" s="111" t="str">
        <f>'C. Masterfiles'!D55</f>
        <v>Tandem Switch</v>
      </c>
      <c r="E18" s="111" t="str">
        <f>'C. Masterfiles'!E55</f>
        <v>TS</v>
      </c>
      <c r="F18" s="344">
        <f>IF('3.Network Design Parameters'!F35&gt;0,AVERAGE('3.Network Design Parameters'!F35:G35),"")</f>
      </c>
      <c r="G18" s="345">
        <f>ROUNDUP('6.Network Design'!H250,0)</f>
        <v>33</v>
      </c>
      <c r="H18" s="346" t="e">
        <f>IF(F18=0,0,G18/F18-1)</f>
        <v>#VALUE!</v>
      </c>
    </row>
    <row r="19" spans="3:8" ht="12.75">
      <c r="C19" s="111" t="str">
        <f>'C. Masterfiles'!C56</f>
        <v>N04</v>
      </c>
      <c r="D19" s="111" t="str">
        <f>'C. Masterfiles'!D56</f>
        <v>International switching centre</v>
      </c>
      <c r="E19" s="111" t="str">
        <f>'C. Masterfiles'!E56</f>
        <v>ISC</v>
      </c>
      <c r="F19" s="344">
        <f>IF('3.Network Design Parameters'!F36&gt;0,AVERAGE('3.Network Design Parameters'!F36:G36),"")</f>
      </c>
      <c r="G19" s="345">
        <f>ROUNDUP('6.Network Design'!H251,0)</f>
        <v>2</v>
      </c>
      <c r="H19" s="573" t="e">
        <f>IF(F19=0,0,G19-F19)</f>
        <v>#VALUE!</v>
      </c>
    </row>
    <row r="20" spans="3:8" ht="12.75">
      <c r="C20" s="111" t="str">
        <f>'C. Masterfiles'!C57</f>
        <v>N05</v>
      </c>
      <c r="D20" s="111" t="str">
        <f>'C. Masterfiles'!D57</f>
        <v>Interconnect gateway</v>
      </c>
      <c r="E20" s="111" t="str">
        <f>'C. Masterfiles'!E57</f>
        <v>IGW</v>
      </c>
      <c r="F20" s="344">
        <f>IF('3.Network Design Parameters'!F37&gt;0,AVERAGE('3.Network Design Parameters'!F37:G37),"")</f>
      </c>
      <c r="G20" s="345">
        <f>ROUNDUP('6.Network Design'!H252,0)</f>
        <v>2</v>
      </c>
      <c r="H20" s="573" t="e">
        <f aca="true" t="shared" si="0" ref="H20:H25">IF(F20=0,0,G20-F20)</f>
        <v>#VALUE!</v>
      </c>
    </row>
    <row r="21" spans="3:8" ht="12.75">
      <c r="C21" s="111" t="str">
        <f>'C. Masterfiles'!C58</f>
        <v>N06</v>
      </c>
      <c r="D21" s="111" t="str">
        <f>'C. Masterfiles'!D58</f>
        <v>Intelligent network </v>
      </c>
      <c r="E21" s="111" t="str">
        <f>'C. Masterfiles'!E58</f>
        <v>IN</v>
      </c>
      <c r="F21" s="344">
        <f>IF('3.Network Design Parameters'!F38&gt;0,AVERAGE('3.Network Design Parameters'!F38:G38),"")</f>
      </c>
      <c r="G21" s="345">
        <f>ROUNDUP('6.Network Design'!H253,0)</f>
        <v>1</v>
      </c>
      <c r="H21" s="573" t="e">
        <f t="shared" si="0"/>
        <v>#VALUE!</v>
      </c>
    </row>
    <row r="22" spans="3:8" ht="12.75">
      <c r="C22" s="111" t="str">
        <f>'C. Masterfiles'!C59</f>
        <v>N07</v>
      </c>
      <c r="D22" s="111" t="str">
        <f>'C. Masterfiles'!D59</f>
        <v>Retail Billing System</v>
      </c>
      <c r="E22" s="111" t="str">
        <f>'C. Masterfiles'!E59</f>
        <v>RBIL</v>
      </c>
      <c r="F22" s="344">
        <f>IF('3.Network Design Parameters'!F39&gt;0,AVERAGE('3.Network Design Parameters'!F39:G39),"")</f>
      </c>
      <c r="G22" s="345">
        <f>ROUNDUP('6.Network Design'!H254,0)</f>
        <v>1</v>
      </c>
      <c r="H22" s="573" t="e">
        <f t="shared" si="0"/>
        <v>#VALUE!</v>
      </c>
    </row>
    <row r="23" spans="3:8" ht="12.75">
      <c r="C23" s="111" t="str">
        <f>'C. Masterfiles'!C60</f>
        <v>N08</v>
      </c>
      <c r="D23" s="111" t="str">
        <f>'C. Masterfiles'!D60</f>
        <v>Interconnection Billing System</v>
      </c>
      <c r="E23" s="111" t="str">
        <f>'C. Masterfiles'!E60</f>
        <v>IBIL</v>
      </c>
      <c r="F23" s="344">
        <f>IF('3.Network Design Parameters'!F40&gt;0,AVERAGE('3.Network Design Parameters'!F40:G40),"")</f>
      </c>
      <c r="G23" s="345">
        <f>ROUNDUP('6.Network Design'!H255,0)</f>
        <v>1</v>
      </c>
      <c r="H23" s="573" t="e">
        <f t="shared" si="0"/>
        <v>#VALUE!</v>
      </c>
    </row>
    <row r="24" spans="3:8" ht="12.75">
      <c r="C24" s="111" t="str">
        <f>'C. Masterfiles'!C61</f>
        <v>N09</v>
      </c>
      <c r="D24" s="111" t="str">
        <f>'C. Masterfiles'!D61</f>
        <v>Network management system</v>
      </c>
      <c r="E24" s="111" t="str">
        <f>'C. Masterfiles'!E61</f>
        <v>NMS</v>
      </c>
      <c r="F24" s="344">
        <f>IF('3.Network Design Parameters'!F41&gt;0,AVERAGE('3.Network Design Parameters'!F41:G41),"")</f>
      </c>
      <c r="G24" s="345">
        <f>ROUNDUP('6.Network Design'!H256,0)</f>
        <v>1</v>
      </c>
      <c r="H24" s="573" t="e">
        <f t="shared" si="0"/>
        <v>#VALUE!</v>
      </c>
    </row>
    <row r="25" spans="3:8" ht="12.75">
      <c r="C25" s="111" t="str">
        <f>'C. Masterfiles'!C62</f>
        <v>N10</v>
      </c>
      <c r="D25" s="111" t="str">
        <f>'C. Masterfiles'!D62</f>
        <v>Operational support system</v>
      </c>
      <c r="E25" s="111" t="str">
        <f>'C. Masterfiles'!E62</f>
        <v>OSS</v>
      </c>
      <c r="F25" s="344">
        <f>IF('3.Network Design Parameters'!F42&gt;0,AVERAGE('3.Network Design Parameters'!F42:G42),"")</f>
      </c>
      <c r="G25" s="345">
        <f>ROUNDUP('6.Network Design'!H257,0)</f>
        <v>1</v>
      </c>
      <c r="H25" s="573" t="e">
        <f t="shared" si="0"/>
        <v>#VALUE!</v>
      </c>
    </row>
    <row r="26" spans="3:8" ht="12.75">
      <c r="C26" s="111" t="str">
        <f>'C. Masterfiles'!C63</f>
        <v>End</v>
      </c>
      <c r="D26" s="111" t="str">
        <f>'C. Masterfiles'!D63</f>
        <v>End of list</v>
      </c>
      <c r="E26" s="111" t="str">
        <f>'C. Masterfiles'!E63</f>
        <v>End</v>
      </c>
      <c r="F26" s="342"/>
      <c r="G26" s="342"/>
      <c r="H26" s="343"/>
    </row>
    <row r="28" spans="3:8" ht="12.75">
      <c r="C28" s="661" t="s">
        <v>118</v>
      </c>
      <c r="D28" s="656"/>
      <c r="E28" s="657"/>
      <c r="F28" s="658">
        <v>2009</v>
      </c>
      <c r="G28" s="659"/>
      <c r="H28" s="660"/>
    </row>
    <row r="29" spans="3:8" ht="38.25">
      <c r="C29" s="90" t="str">
        <f>'C. Masterfiles'!C68</f>
        <v>ID</v>
      </c>
      <c r="D29" s="90" t="str">
        <f>'C. Masterfiles'!D68</f>
        <v>Name</v>
      </c>
      <c r="E29" s="90"/>
      <c r="F29" s="106" t="s">
        <v>799</v>
      </c>
      <c r="G29" s="106" t="s">
        <v>733</v>
      </c>
      <c r="H29" s="216" t="s">
        <v>583</v>
      </c>
    </row>
    <row r="30" spans="3:8" ht="12.75">
      <c r="C30" s="10" t="str">
        <f>'C. Masterfiles'!C69</f>
        <v>T01</v>
      </c>
      <c r="D30" s="10" t="str">
        <f>'C. Masterfiles'!D69</f>
        <v>Rau-TS</v>
      </c>
      <c r="E30" s="10"/>
      <c r="F30" s="494"/>
      <c r="G30" s="426">
        <f>'6.Network Design'!H206</f>
        <v>1107.8860024978364</v>
      </c>
      <c r="H30" s="346">
        <f aca="true" t="shared" si="1" ref="H30:H35">IF(F30=0,0,G30/F30-1)</f>
        <v>0</v>
      </c>
    </row>
    <row r="31" spans="3:8" ht="12.75">
      <c r="C31" s="10" t="str">
        <f>'C. Masterfiles'!C70</f>
        <v>T02</v>
      </c>
      <c r="D31" s="10" t="str">
        <f>'C. Masterfiles'!D70</f>
        <v>LS-TS</v>
      </c>
      <c r="E31" s="10"/>
      <c r="F31" s="494"/>
      <c r="G31" s="426">
        <f>'6.Network Design'!H207</f>
        <v>1107.8860024978364</v>
      </c>
      <c r="H31" s="346">
        <f t="shared" si="1"/>
        <v>0</v>
      </c>
    </row>
    <row r="32" spans="3:8" ht="12.75">
      <c r="C32" s="10" t="str">
        <f>'C. Masterfiles'!C71</f>
        <v>T03</v>
      </c>
      <c r="D32" s="10" t="str">
        <f>'C. Masterfiles'!D71</f>
        <v>TS-TS</v>
      </c>
      <c r="E32" s="10"/>
      <c r="F32" s="494"/>
      <c r="G32" s="426">
        <f>'6.Network Design'!H208</f>
        <v>305.7713666666666</v>
      </c>
      <c r="H32" s="346">
        <f t="shared" si="1"/>
        <v>0</v>
      </c>
    </row>
    <row r="33" spans="3:8" ht="12.75">
      <c r="C33" s="10" t="str">
        <f>'C. Masterfiles'!C72</f>
        <v>T04</v>
      </c>
      <c r="D33" s="10" t="str">
        <f>'C. Masterfiles'!D72</f>
        <v>TS-ISC</v>
      </c>
      <c r="E33" s="10"/>
      <c r="F33" s="494"/>
      <c r="G33" s="426">
        <f>'6.Network Design'!H209</f>
        <v>764.4930718578548</v>
      </c>
      <c r="H33" s="346">
        <f t="shared" si="1"/>
        <v>0</v>
      </c>
    </row>
    <row r="34" spans="3:8" ht="12.75">
      <c r="C34" s="10" t="str">
        <f>'C. Masterfiles'!C73</f>
        <v>T05</v>
      </c>
      <c r="D34" s="10" t="str">
        <f>'C. Masterfiles'!D73</f>
        <v>ISC-ISC</v>
      </c>
      <c r="E34" s="10"/>
      <c r="F34" s="494"/>
      <c r="G34" s="426">
        <f>'6.Network Design'!H210</f>
        <v>67.14858186948852</v>
      </c>
      <c r="H34" s="346">
        <f t="shared" si="1"/>
        <v>0</v>
      </c>
    </row>
    <row r="35" spans="3:8" ht="12.75">
      <c r="C35" s="10" t="str">
        <f>'C. Masterfiles'!C74</f>
        <v>T06</v>
      </c>
      <c r="D35" s="10" t="str">
        <f>'C. Masterfiles'!D74</f>
        <v>ISC-IN</v>
      </c>
      <c r="E35" s="10"/>
      <c r="F35" s="494"/>
      <c r="G35" s="426">
        <f>'6.Network Design'!H211</f>
        <v>3.731495754075555</v>
      </c>
      <c r="H35" s="346">
        <f t="shared" si="1"/>
        <v>0</v>
      </c>
    </row>
    <row r="36" spans="3:8" ht="12.75">
      <c r="C36" s="10" t="str">
        <f>'C. Masterfiles'!C75</f>
        <v>T07</v>
      </c>
      <c r="D36" s="10" t="str">
        <f>'C. Masterfiles'!D75</f>
        <v>TS-IN</v>
      </c>
      <c r="E36" s="10"/>
      <c r="F36" s="494"/>
      <c r="G36" s="426">
        <f>'6.Network Design'!H212</f>
        <v>11.194487262226662</v>
      </c>
      <c r="H36" s="346">
        <f>IF(F36=0,0,G36/F36-1)</f>
        <v>0</v>
      </c>
    </row>
    <row r="37" spans="3:8" ht="12.75">
      <c r="C37" s="10" t="str">
        <f>'C. Masterfiles'!C76</f>
        <v>T08</v>
      </c>
      <c r="D37" s="10" t="str">
        <f>'C. Masterfiles'!D76</f>
        <v>TS-IGW</v>
      </c>
      <c r="E37" s="10"/>
      <c r="F37" s="494"/>
      <c r="G37" s="426">
        <f>'6.Network Design'!H213</f>
        <v>86.80347677097505</v>
      </c>
      <c r="H37" s="346">
        <f>IF(F37=0,0,G37/F37-1)</f>
        <v>0</v>
      </c>
    </row>
    <row r="38" spans="3:8" ht="12.75">
      <c r="C38" s="10" t="str">
        <f>'C. Masterfiles'!C77</f>
        <v>T09</v>
      </c>
      <c r="D38" s="10" t="str">
        <f>'C. Masterfiles'!D77</f>
        <v>LS-LS</v>
      </c>
      <c r="E38" s="10"/>
      <c r="F38" s="494"/>
      <c r="G38" s="426">
        <f>'6.Network Design'!H214</f>
        <v>43.68162380952381</v>
      </c>
      <c r="H38" s="346">
        <f>IF(F38=0,0,G38/F38-1)</f>
        <v>0</v>
      </c>
    </row>
    <row r="39" spans="3:8" ht="12.75">
      <c r="C39" s="10" t="str">
        <f>'C. Masterfiles'!C78</f>
        <v>End</v>
      </c>
      <c r="D39" s="10" t="str">
        <f>'C. Masterfiles'!D78</f>
        <v>End of list</v>
      </c>
      <c r="E39" s="342"/>
      <c r="F39" s="342"/>
      <c r="G39" s="342"/>
      <c r="H39" s="343"/>
    </row>
    <row r="41" ht="12.75" customHeight="1"/>
  </sheetData>
  <sheetProtection/>
  <mergeCells count="4">
    <mergeCell ref="F28:H28"/>
    <mergeCell ref="F14:H14"/>
    <mergeCell ref="C14:E14"/>
    <mergeCell ref="C28:E28"/>
  </mergeCells>
  <printOptions/>
  <pageMargins left="0.75" right="0.75" top="1" bottom="1" header="0.5" footer="0.5"/>
  <pageSetup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Y180"/>
  <sheetViews>
    <sheetView zoomScale="130" zoomScaleNormal="130" zoomScalePageLayoutView="0" workbookViewId="0" topLeftCell="A1">
      <selection activeCell="H3" sqref="H3"/>
    </sheetView>
  </sheetViews>
  <sheetFormatPr defaultColWidth="9.140625" defaultRowHeight="12.75"/>
  <cols>
    <col min="1" max="1" width="6.57421875" style="1" customWidth="1"/>
    <col min="2" max="2" width="6.8515625" style="1" customWidth="1"/>
    <col min="3" max="3" width="15.7109375" style="1" customWidth="1"/>
    <col min="4" max="4" width="30.7109375" style="123" customWidth="1"/>
    <col min="5" max="6" width="9.140625" style="1" customWidth="1"/>
    <col min="7" max="12" width="14.8515625" style="1" customWidth="1"/>
    <col min="13" max="13" width="14.7109375" style="1" customWidth="1"/>
    <col min="14" max="16384" width="9.140625" style="1" customWidth="1"/>
  </cols>
  <sheetData>
    <row r="1" ht="20.25">
      <c r="A1" s="260" t="s">
        <v>676</v>
      </c>
    </row>
    <row r="2" ht="20.25">
      <c r="A2" s="260"/>
    </row>
    <row r="3" spans="3:12" ht="12.75">
      <c r="C3" s="598" t="s">
        <v>247</v>
      </c>
      <c r="D3" s="257" t="s">
        <v>312</v>
      </c>
      <c r="E3" s="257"/>
      <c r="F3" s="257"/>
      <c r="G3" s="257"/>
      <c r="H3" s="257"/>
      <c r="I3" s="123"/>
      <c r="J3" s="123"/>
      <c r="K3" s="123"/>
      <c r="L3" s="123"/>
    </row>
    <row r="4" spans="3:12" ht="12.75">
      <c r="C4" s="599" t="s">
        <v>249</v>
      </c>
      <c r="D4" s="244" t="s">
        <v>255</v>
      </c>
      <c r="E4" s="244"/>
      <c r="F4" s="244"/>
      <c r="G4" s="244"/>
      <c r="H4" s="244"/>
      <c r="I4" s="123"/>
      <c r="J4" s="123"/>
      <c r="K4" s="123"/>
      <c r="L4" s="123"/>
    </row>
    <row r="5" spans="3:12" ht="12.75">
      <c r="C5" s="600" t="s">
        <v>251</v>
      </c>
      <c r="D5" s="323" t="s">
        <v>182</v>
      </c>
      <c r="E5" s="323"/>
      <c r="F5" s="323"/>
      <c r="G5" s="323"/>
      <c r="H5" s="323"/>
      <c r="I5" s="123"/>
      <c r="J5" s="123"/>
      <c r="K5" s="123"/>
      <c r="L5" s="123"/>
    </row>
    <row r="6" spans="3:12" ht="12.75">
      <c r="C6" s="601" t="s">
        <v>252</v>
      </c>
      <c r="D6" s="258" t="s">
        <v>260</v>
      </c>
      <c r="E6" s="258"/>
      <c r="F6" s="258"/>
      <c r="G6" s="258"/>
      <c r="H6" s="258"/>
      <c r="I6" s="123"/>
      <c r="J6" s="123"/>
      <c r="K6" s="123"/>
      <c r="L6" s="123"/>
    </row>
    <row r="7" spans="3:12" ht="12.75">
      <c r="C7" s="602" t="s">
        <v>254</v>
      </c>
      <c r="D7" s="259" t="s">
        <v>261</v>
      </c>
      <c r="E7" s="259"/>
      <c r="F7" s="259"/>
      <c r="G7" s="259"/>
      <c r="H7" s="259"/>
      <c r="I7" s="123"/>
      <c r="J7" s="123"/>
      <c r="K7" s="123"/>
      <c r="L7" s="123"/>
    </row>
    <row r="8" spans="3:8" ht="12.75">
      <c r="C8" s="254"/>
      <c r="D8" s="259"/>
      <c r="E8" s="255"/>
      <c r="F8" s="255"/>
      <c r="G8" s="255"/>
      <c r="H8" s="255"/>
    </row>
    <row r="9" ht="12.75">
      <c r="D9" s="1"/>
    </row>
    <row r="11" spans="1:25" ht="15.75">
      <c r="A11" s="153" t="s">
        <v>693</v>
      </c>
      <c r="B11" s="153" t="s">
        <v>57</v>
      </c>
      <c r="D11" s="1"/>
      <c r="M11" s="514"/>
      <c r="W11" s="518" t="s">
        <v>72</v>
      </c>
      <c r="X11" s="519"/>
      <c r="Y11" s="520"/>
    </row>
    <row r="12" spans="13:25" ht="12.75">
      <c r="M12" s="514"/>
      <c r="W12" s="521"/>
      <c r="X12" s="522"/>
      <c r="Y12" s="523"/>
    </row>
    <row r="13" spans="2:25" ht="12.75">
      <c r="B13" s="513" t="s">
        <v>43</v>
      </c>
      <c r="W13" s="521"/>
      <c r="X13" s="522">
        <v>2</v>
      </c>
      <c r="Y13" s="523"/>
    </row>
    <row r="14" spans="2:25" ht="12.75">
      <c r="B14" s="513"/>
      <c r="E14" s="514"/>
      <c r="W14" s="521"/>
      <c r="X14" s="522" t="s">
        <v>579</v>
      </c>
      <c r="Y14" s="523"/>
    </row>
    <row r="15" spans="2:25" ht="12.75">
      <c r="B15" s="513"/>
      <c r="E15" s="514"/>
      <c r="W15" s="521"/>
      <c r="X15" s="522" t="s">
        <v>60</v>
      </c>
      <c r="Y15" s="523"/>
    </row>
    <row r="16" spans="2:25" ht="12.75">
      <c r="B16" s="513"/>
      <c r="D16" s="1"/>
      <c r="E16" s="514"/>
      <c r="W16" s="521"/>
      <c r="X16" s="522"/>
      <c r="Y16" s="523"/>
    </row>
    <row r="17" spans="2:25" ht="12.75">
      <c r="B17" s="513" t="s">
        <v>65</v>
      </c>
      <c r="E17" s="514"/>
      <c r="W17" s="521"/>
      <c r="X17" s="522">
        <v>1</v>
      </c>
      <c r="Y17" s="523"/>
    </row>
    <row r="18" spans="2:25" ht="12.75" hidden="1">
      <c r="B18" s="513"/>
      <c r="D18" s="83" t="s">
        <v>61</v>
      </c>
      <c r="E18" s="514"/>
      <c r="W18" s="521"/>
      <c r="X18" s="522" t="s">
        <v>579</v>
      </c>
      <c r="Y18" s="523"/>
    </row>
    <row r="19" spans="2:25" ht="12.75" hidden="1">
      <c r="B19" s="513"/>
      <c r="D19" s="83" t="s">
        <v>41</v>
      </c>
      <c r="E19" s="514"/>
      <c r="W19" s="521"/>
      <c r="X19" s="522" t="s">
        <v>60</v>
      </c>
      <c r="Y19" s="523"/>
    </row>
    <row r="20" spans="23:25" ht="12.75">
      <c r="W20" s="521"/>
      <c r="X20" s="522" t="s">
        <v>63</v>
      </c>
      <c r="Y20" s="523"/>
    </row>
    <row r="21" spans="23:25" ht="12.75">
      <c r="W21" s="521"/>
      <c r="X21" s="522" t="s">
        <v>64</v>
      </c>
      <c r="Y21" s="523"/>
    </row>
    <row r="22" ht="12.75">
      <c r="D22" s="1"/>
    </row>
    <row r="23" ht="12.75">
      <c r="D23" s="1"/>
    </row>
    <row r="24" spans="1:4" ht="15.75">
      <c r="A24" s="153" t="s">
        <v>69</v>
      </c>
      <c r="B24" s="153" t="s">
        <v>234</v>
      </c>
      <c r="D24" s="1"/>
    </row>
    <row r="25" ht="12.75">
      <c r="D25" s="1"/>
    </row>
    <row r="26" spans="2:4" ht="12.75">
      <c r="B26" s="57" t="s">
        <v>849</v>
      </c>
      <c r="C26" s="466" t="str">
        <f>IF('B. Dashboard'!K36=1,'B. Dashboard'!F13,IF('B. Dashboard'!K36=2,'B. Dashboard'!G13))</f>
        <v>MoldTelecom</v>
      </c>
      <c r="D26" s="1"/>
    </row>
    <row r="27" spans="2:4" ht="12.75">
      <c r="B27" s="57"/>
      <c r="C27" s="466"/>
      <c r="D27" s="1"/>
    </row>
    <row r="28" spans="3:4" ht="12.75">
      <c r="C28" s="549" t="s">
        <v>271</v>
      </c>
      <c r="D28" s="1"/>
    </row>
    <row r="29" spans="1:4" ht="12.75">
      <c r="A29" s="57"/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spans="23:25" ht="12.75">
      <c r="W53" s="521"/>
      <c r="X53" s="522"/>
      <c r="Y53" s="523"/>
    </row>
    <row r="54" spans="1:25" ht="15.75">
      <c r="A54" s="153" t="s">
        <v>56</v>
      </c>
      <c r="B54" s="153" t="s">
        <v>235</v>
      </c>
      <c r="D54" s="1"/>
      <c r="W54" s="521"/>
      <c r="X54" s="524"/>
      <c r="Y54" s="523"/>
    </row>
    <row r="55" spans="23:25" ht="12.75">
      <c r="W55" s="525"/>
      <c r="X55" s="526"/>
      <c r="Y55" s="527"/>
    </row>
    <row r="56" spans="2:6" ht="12.75">
      <c r="B56" s="57" t="s">
        <v>849</v>
      </c>
      <c r="C56" s="466" t="str">
        <f>C26</f>
        <v>MoldTelecom</v>
      </c>
      <c r="D56" s="514"/>
      <c r="F56" s="514"/>
    </row>
    <row r="58" ht="12.75">
      <c r="D58" s="584" t="s">
        <v>238</v>
      </c>
    </row>
    <row r="59" spans="4:9" ht="12.75">
      <c r="D59" s="127"/>
      <c r="E59" s="129"/>
      <c r="F59" s="92">
        <f>F79</f>
        <v>2009</v>
      </c>
      <c r="G59" s="92">
        <f>G79</f>
        <v>2010</v>
      </c>
      <c r="H59" s="92">
        <f>H79</f>
        <v>2011</v>
      </c>
      <c r="I59" s="92">
        <f>I79</f>
        <v>2012</v>
      </c>
    </row>
    <row r="60" spans="4:9" ht="12.75">
      <c r="D60" s="662" t="str">
        <f>'2.Traffic'!D22</f>
        <v>Terminating calls (local)</v>
      </c>
      <c r="E60" s="663"/>
      <c r="F60" s="422">
        <f>'2.Traffic'!F57</f>
        <v>60.5900712</v>
      </c>
      <c r="G60" s="422">
        <f>'2.Traffic'!G57</f>
        <v>64.1247492</v>
      </c>
      <c r="H60" s="422">
        <f>'2.Traffic'!H57</f>
        <v>72.14419936</v>
      </c>
      <c r="I60" s="422">
        <f>'2.Traffic'!I57</f>
        <v>79.683919082</v>
      </c>
    </row>
    <row r="61" spans="4:9" ht="12.75">
      <c r="D61" s="662" t="str">
        <f>'2.Traffic'!D23</f>
        <v>Terminating calls (national) </v>
      </c>
      <c r="E61" s="663"/>
      <c r="F61" s="422">
        <f>'2.Traffic'!F58</f>
        <v>73.4090688</v>
      </c>
      <c r="G61" s="422">
        <f>'2.Traffic'!G58</f>
        <v>74.55950080000001</v>
      </c>
      <c r="H61" s="422">
        <f>'2.Traffic'!H58</f>
        <v>78.80369664000001</v>
      </c>
      <c r="I61" s="422">
        <f>'2.Traffic'!I58</f>
        <v>81.996139168</v>
      </c>
    </row>
    <row r="62" spans="4:9" ht="12.75">
      <c r="D62" s="662" t="str">
        <f>'2.Traffic'!D24</f>
        <v>Terminating calls (international)</v>
      </c>
      <c r="E62" s="663"/>
      <c r="F62" s="422">
        <f>'2.Traffic'!F59</f>
        <v>389.16057</v>
      </c>
      <c r="G62" s="422">
        <f>'2.Traffic'!G59</f>
        <v>356.36401</v>
      </c>
      <c r="H62" s="422">
        <f>'2.Traffic'!H59</f>
        <v>343.36976000000004</v>
      </c>
      <c r="I62" s="422">
        <f>'2.Traffic'!I59</f>
        <v>323.9433367</v>
      </c>
    </row>
    <row r="63" spans="4:9" ht="12.75">
      <c r="D63" s="585" t="s">
        <v>239</v>
      </c>
      <c r="E63" s="120"/>
      <c r="F63" s="423">
        <f>SUM(F61:F62)</f>
        <v>462.5696388</v>
      </c>
      <c r="G63" s="423">
        <f>SUM(G61:G62)</f>
        <v>430.92351080000003</v>
      </c>
      <c r="H63" s="423">
        <f>SUM(H61:H62)</f>
        <v>422.17345664000004</v>
      </c>
      <c r="I63" s="423">
        <f>SUM(I61:I62)</f>
        <v>405.939475868</v>
      </c>
    </row>
    <row r="64" spans="4:9" ht="12.75">
      <c r="D64" s="585" t="s">
        <v>240</v>
      </c>
      <c r="E64" s="120"/>
      <c r="F64" s="423">
        <f>SUM(F60:F62)</f>
        <v>523.15971</v>
      </c>
      <c r="G64" s="423">
        <f>SUM(G60:G62)</f>
        <v>495.04826</v>
      </c>
      <c r="H64" s="423">
        <f>SUM(H60:H62)</f>
        <v>494.31765600000006</v>
      </c>
      <c r="I64" s="423">
        <f>SUM(I60:I62)</f>
        <v>485.62339495</v>
      </c>
    </row>
    <row r="66" ht="12.75">
      <c r="D66" s="584" t="s">
        <v>231</v>
      </c>
    </row>
    <row r="67" spans="4:9" ht="12.75">
      <c r="D67" s="127"/>
      <c r="E67" s="129"/>
      <c r="F67" s="92">
        <f>F59</f>
        <v>2009</v>
      </c>
      <c r="G67" s="92">
        <f>G59</f>
        <v>2010</v>
      </c>
      <c r="H67" s="92">
        <f>H59</f>
        <v>2011</v>
      </c>
      <c r="I67" s="92">
        <f>I59</f>
        <v>2012</v>
      </c>
    </row>
    <row r="68" spans="4:9" ht="12.75">
      <c r="D68" s="662" t="str">
        <f>D61</f>
        <v>Terminating calls (national) </v>
      </c>
      <c r="E68" s="663"/>
      <c r="F68" s="346">
        <f aca="true" t="shared" si="0" ref="F68:I69">F61/F$63</f>
        <v>0.15869841563842818</v>
      </c>
      <c r="G68" s="346">
        <f t="shared" si="0"/>
        <v>0.17302258737654377</v>
      </c>
      <c r="H68" s="346">
        <f t="shared" si="0"/>
        <v>0.18666189311659706</v>
      </c>
      <c r="I68" s="346">
        <f t="shared" si="0"/>
        <v>0.2019910455682384</v>
      </c>
    </row>
    <row r="69" spans="4:9" ht="12.75">
      <c r="D69" s="662" t="str">
        <f>D62</f>
        <v>Terminating calls (international)</v>
      </c>
      <c r="E69" s="663"/>
      <c r="F69" s="346">
        <f t="shared" si="0"/>
        <v>0.8413015843615718</v>
      </c>
      <c r="G69" s="346">
        <f t="shared" si="0"/>
        <v>0.8269774126234561</v>
      </c>
      <c r="H69" s="346">
        <f t="shared" si="0"/>
        <v>0.813338106883403</v>
      </c>
      <c r="I69" s="346">
        <f t="shared" si="0"/>
        <v>0.7980089544317616</v>
      </c>
    </row>
    <row r="70" spans="4:9" ht="12.75">
      <c r="D70" s="585" t="s">
        <v>635</v>
      </c>
      <c r="E70" s="120"/>
      <c r="F70" s="214">
        <f>SUM(F68:F69)</f>
        <v>1</v>
      </c>
      <c r="G70" s="214">
        <f>SUM(G68:G69)</f>
        <v>0.9999999999999999</v>
      </c>
      <c r="H70" s="214">
        <f>SUM(H68:H69)</f>
        <v>1</v>
      </c>
      <c r="I70" s="214">
        <f>SUM(I68:I69)</f>
        <v>1</v>
      </c>
    </row>
    <row r="72" ht="12.75">
      <c r="D72" s="584" t="s">
        <v>230</v>
      </c>
    </row>
    <row r="73" spans="4:9" ht="12.75">
      <c r="D73" s="127" t="s">
        <v>837</v>
      </c>
      <c r="E73" s="129"/>
      <c r="F73" s="92">
        <f>F59</f>
        <v>2009</v>
      </c>
      <c r="G73" s="92">
        <f>G59</f>
        <v>2010</v>
      </c>
      <c r="H73" s="92">
        <f>H59</f>
        <v>2011</v>
      </c>
      <c r="I73" s="92">
        <f>I59</f>
        <v>2012</v>
      </c>
    </row>
    <row r="74" spans="4:9" ht="12.75">
      <c r="D74" s="662" t="str">
        <f>D61</f>
        <v>Terminating calls (national) </v>
      </c>
      <c r="E74" s="663"/>
      <c r="F74" s="422">
        <f>'11.Service pricing'!I38*100</f>
        <v>3.25333161578018</v>
      </c>
      <c r="G74" s="422">
        <f>'11.Service pricing'!I55*100</f>
        <v>3.2018894829383298</v>
      </c>
      <c r="H74" s="422">
        <f>'11.Service pricing'!I72*100</f>
        <v>3.102164391914192</v>
      </c>
      <c r="I74" s="422">
        <f>'11.Service pricing'!I89*100</f>
        <v>3.0171791763485714</v>
      </c>
    </row>
    <row r="75" spans="4:9" ht="12.75">
      <c r="D75" s="662" t="str">
        <f>D62</f>
        <v>Terminating calls (international)</v>
      </c>
      <c r="E75" s="663"/>
      <c r="F75" s="422">
        <f>'11.Service pricing'!I39*100</f>
        <v>2.747751072876293</v>
      </c>
      <c r="G75" s="422">
        <f>'11.Service pricing'!I56*100</f>
        <v>2.7073883921244675</v>
      </c>
      <c r="H75" s="422">
        <f>'11.Service pricing'!I73*100</f>
        <v>2.620413518702077</v>
      </c>
      <c r="I75" s="422">
        <f>'11.Service pricing'!I90*100</f>
        <v>2.545213627408725</v>
      </c>
    </row>
    <row r="76" spans="4:9" ht="12.75">
      <c r="D76" s="665" t="s">
        <v>241</v>
      </c>
      <c r="E76" s="663"/>
      <c r="F76" s="423">
        <f>SUMPRODUCT(F68:F69,F74:F75)</f>
        <v>2.827985904012756</v>
      </c>
      <c r="G76" s="423">
        <f>SUMPRODUCT(G68:G69,G74:G75)</f>
        <v>2.792948250317605</v>
      </c>
      <c r="H76" s="423">
        <f>SUMPRODUCT(H68:H69,H74:H75)</f>
        <v>2.710338048706424</v>
      </c>
      <c r="I76" s="423">
        <f>SUMPRODUCT(I68:I69,I74:I75)</f>
        <v>2.640546442111272</v>
      </c>
    </row>
    <row r="77" ht="12.75">
      <c r="D77" s="1"/>
    </row>
    <row r="78" spans="4:5" ht="12.75">
      <c r="D78" s="583" t="s">
        <v>232</v>
      </c>
      <c r="E78" s="123"/>
    </row>
    <row r="79" spans="4:9" ht="12.75">
      <c r="D79" s="127" t="s">
        <v>837</v>
      </c>
      <c r="E79" s="129"/>
      <c r="F79" s="92">
        <f>'2.Traffic'!G16</f>
        <v>2009</v>
      </c>
      <c r="G79" s="92">
        <f>'2.Traffic'!H16</f>
        <v>2010</v>
      </c>
      <c r="H79" s="92">
        <f>'2.Traffic'!I16</f>
        <v>2011</v>
      </c>
      <c r="I79" s="92">
        <f>'2.Traffic'!J16</f>
        <v>2012</v>
      </c>
    </row>
    <row r="80" spans="4:9" ht="12.75">
      <c r="D80" s="664" t="s">
        <v>229</v>
      </c>
      <c r="E80" s="663"/>
      <c r="F80" s="422">
        <f>'11.Service pricing'!I37*100</f>
        <v>0.6653382016634822</v>
      </c>
      <c r="G80" s="422">
        <f>'11.Service pricing'!I54*100</f>
        <v>0.6722383738461283</v>
      </c>
      <c r="H80" s="422">
        <f>'11.Service pricing'!I71*100</f>
        <v>0.6805005140125601</v>
      </c>
      <c r="I80" s="422">
        <f>'11.Service pricing'!I88*100</f>
        <v>0.6998308620981905</v>
      </c>
    </row>
    <row r="81" spans="4:9" ht="12.75">
      <c r="D81" s="664" t="s">
        <v>233</v>
      </c>
      <c r="E81" s="663"/>
      <c r="F81" s="422">
        <f>F76</f>
        <v>2.827985904012756</v>
      </c>
      <c r="G81" s="422">
        <f>G76</f>
        <v>2.792948250317605</v>
      </c>
      <c r="H81" s="422">
        <f>H76</f>
        <v>2.710338048706424</v>
      </c>
      <c r="I81" s="422">
        <f>I76</f>
        <v>2.640546442111272</v>
      </c>
    </row>
    <row r="82" spans="4:9" ht="12.75">
      <c r="D82" s="665" t="s">
        <v>785</v>
      </c>
      <c r="E82" s="663"/>
      <c r="F82" s="423">
        <f>F76*(F61+F62)/F64+F80*F60/F64</f>
        <v>2.5775174987415266</v>
      </c>
      <c r="G82" s="423">
        <f>G76*(G61+G62)/G64+G80*G60/G64</f>
        <v>2.51824778181238</v>
      </c>
      <c r="H82" s="423">
        <f>H76*(H61+H62)/H64+H80*H60/H64</f>
        <v>2.4140892661799</v>
      </c>
      <c r="I82" s="423">
        <f>I76*(I61+I62)/I64+I80*I60/I64</f>
        <v>2.322102510358641</v>
      </c>
    </row>
    <row r="85" spans="1:4" ht="15.75">
      <c r="A85" s="153" t="s">
        <v>70</v>
      </c>
      <c r="B85" s="153" t="s">
        <v>74</v>
      </c>
      <c r="D85" s="1"/>
    </row>
    <row r="87" spans="4:6" ht="12.75">
      <c r="D87" s="514" t="s">
        <v>273</v>
      </c>
      <c r="F87" s="514" t="s">
        <v>281</v>
      </c>
    </row>
    <row r="88" spans="4:6" ht="12.75">
      <c r="D88" s="514"/>
      <c r="F88" s="514"/>
    </row>
    <row r="89" spans="4:9" ht="12.75">
      <c r="D89" s="528" t="s">
        <v>229</v>
      </c>
      <c r="E89" s="516"/>
      <c r="F89" s="92">
        <f>'C. Masterfiles'!F$99</f>
        <v>2009</v>
      </c>
      <c r="G89" s="92">
        <f>'C. Masterfiles'!G$99</f>
        <v>2010</v>
      </c>
      <c r="H89" s="92">
        <f>'C. Masterfiles'!H$99</f>
        <v>2011</v>
      </c>
      <c r="I89" s="92">
        <f>'C. Masterfiles'!I$99</f>
        <v>2012</v>
      </c>
    </row>
    <row r="90" spans="4:10" ht="12.75">
      <c r="D90" s="664" t="s">
        <v>97</v>
      </c>
      <c r="E90" s="663"/>
      <c r="F90" s="510">
        <v>0.7102669839315853</v>
      </c>
      <c r="G90" s="510">
        <v>0.7138698414240225</v>
      </c>
      <c r="H90" s="510">
        <v>0.7187441264224025</v>
      </c>
      <c r="I90" s="510">
        <v>0.7341643912839477</v>
      </c>
      <c r="J90" s="514" t="s">
        <v>274</v>
      </c>
    </row>
    <row r="91" spans="4:10" ht="12.75">
      <c r="D91" s="664" t="s">
        <v>947</v>
      </c>
      <c r="E91" s="663"/>
      <c r="F91" s="510">
        <v>1.0366934264902832</v>
      </c>
      <c r="G91" s="510">
        <v>1.0311062131592665</v>
      </c>
      <c r="H91" s="510">
        <v>1.0276884524042138</v>
      </c>
      <c r="I91" s="510">
        <v>1.0379358412210515</v>
      </c>
      <c r="J91" s="514" t="s">
        <v>275</v>
      </c>
    </row>
    <row r="94" ht="12.75">
      <c r="C94" s="549" t="s">
        <v>271</v>
      </c>
    </row>
    <row r="115" spans="4:6" ht="12.75">
      <c r="D115" s="514"/>
      <c r="F115" s="514"/>
    </row>
    <row r="116" spans="4:9" ht="12.75">
      <c r="D116" s="528" t="s">
        <v>233</v>
      </c>
      <c r="E116" s="516"/>
      <c r="F116" s="92">
        <f>'C. Masterfiles'!F$99</f>
        <v>2009</v>
      </c>
      <c r="G116" s="92">
        <f>'C. Masterfiles'!G$99</f>
        <v>2010</v>
      </c>
      <c r="H116" s="92">
        <f>'C. Masterfiles'!H$99</f>
        <v>2011</v>
      </c>
      <c r="I116" s="92">
        <f>'C. Masterfiles'!I$99</f>
        <v>2012</v>
      </c>
    </row>
    <row r="117" spans="4:10" ht="12.75">
      <c r="D117" s="664" t="s">
        <v>97</v>
      </c>
      <c r="E117" s="663"/>
      <c r="F117" s="510">
        <v>0.7420030353857688</v>
      </c>
      <c r="G117" s="510">
        <v>0.756982762025725</v>
      </c>
      <c r="H117" s="510">
        <v>0.7678647135224231</v>
      </c>
      <c r="I117" s="510">
        <v>0.7858464555239901</v>
      </c>
      <c r="J117" s="514" t="s">
        <v>276</v>
      </c>
    </row>
    <row r="118" spans="4:10" ht="12.75">
      <c r="D118" s="664" t="s">
        <v>947</v>
      </c>
      <c r="E118" s="663"/>
      <c r="F118" s="510">
        <v>1.0880322418270572</v>
      </c>
      <c r="G118" s="510">
        <v>1.094160309945455</v>
      </c>
      <c r="H118" s="510">
        <v>1.0969524379619042</v>
      </c>
      <c r="I118" s="510">
        <v>1.1147118342234412</v>
      </c>
      <c r="J118" s="514" t="s">
        <v>277</v>
      </c>
    </row>
    <row r="121" ht="12.75">
      <c r="C121" s="549" t="s">
        <v>271</v>
      </c>
    </row>
    <row r="144" spans="1:4" ht="15.75">
      <c r="A144" s="153" t="s">
        <v>71</v>
      </c>
      <c r="B144" s="153" t="s">
        <v>237</v>
      </c>
      <c r="D144" s="1"/>
    </row>
    <row r="146" spans="1:4" s="587" customFormat="1" ht="12.75" customHeight="1">
      <c r="A146" s="1"/>
      <c r="B146" s="514" t="s">
        <v>278</v>
      </c>
      <c r="C146" s="253"/>
      <c r="D146" s="586"/>
    </row>
    <row r="148" spans="2:12" s="126" customFormat="1" ht="12.75">
      <c r="B148" s="675" t="s">
        <v>40</v>
      </c>
      <c r="C148" s="676"/>
      <c r="D148" s="661" t="s">
        <v>38</v>
      </c>
      <c r="E148" s="656"/>
      <c r="F148" s="657"/>
      <c r="G148" s="661" t="s">
        <v>46</v>
      </c>
      <c r="H148" s="656"/>
      <c r="I148" s="657"/>
      <c r="J148" s="661" t="s">
        <v>39</v>
      </c>
      <c r="K148" s="656"/>
      <c r="L148" s="657"/>
    </row>
    <row r="149" spans="2:12" ht="12.75" customHeight="1">
      <c r="B149" s="666">
        <v>1</v>
      </c>
      <c r="C149" s="667"/>
      <c r="D149" s="668" t="s">
        <v>42</v>
      </c>
      <c r="E149" s="669"/>
      <c r="F149" s="670"/>
      <c r="G149" s="668" t="s">
        <v>44</v>
      </c>
      <c r="H149" s="669"/>
      <c r="I149" s="670"/>
      <c r="J149" s="671" t="s">
        <v>66</v>
      </c>
      <c r="K149" s="672"/>
      <c r="L149" s="673"/>
    </row>
    <row r="150" spans="2:12" ht="12.75" customHeight="1">
      <c r="B150" s="666">
        <v>2</v>
      </c>
      <c r="C150" s="667"/>
      <c r="D150" s="668" t="s">
        <v>45</v>
      </c>
      <c r="E150" s="669"/>
      <c r="F150" s="670"/>
      <c r="G150" s="677" t="s">
        <v>220</v>
      </c>
      <c r="H150" s="669"/>
      <c r="I150" s="670"/>
      <c r="J150" s="671" t="s">
        <v>66</v>
      </c>
      <c r="K150" s="672"/>
      <c r="L150" s="673"/>
    </row>
    <row r="151" spans="2:12" ht="12.75" customHeight="1">
      <c r="B151" s="666">
        <v>3</v>
      </c>
      <c r="C151" s="667"/>
      <c r="D151" s="668" t="s">
        <v>68</v>
      </c>
      <c r="E151" s="669"/>
      <c r="F151" s="670"/>
      <c r="G151" s="677" t="s">
        <v>236</v>
      </c>
      <c r="H151" s="669"/>
      <c r="I151" s="670"/>
      <c r="J151" s="671" t="s">
        <v>67</v>
      </c>
      <c r="K151" s="672"/>
      <c r="L151" s="673"/>
    </row>
    <row r="152" spans="2:12" ht="12.75" customHeight="1">
      <c r="B152" s="666">
        <v>4</v>
      </c>
      <c r="C152" s="667"/>
      <c r="D152" s="674" t="s">
        <v>53</v>
      </c>
      <c r="E152" s="669"/>
      <c r="F152" s="670"/>
      <c r="G152" s="668" t="s">
        <v>684</v>
      </c>
      <c r="H152" s="669"/>
      <c r="I152" s="670"/>
      <c r="J152" s="671" t="s">
        <v>67</v>
      </c>
      <c r="K152" s="672"/>
      <c r="L152" s="673"/>
    </row>
    <row r="153" spans="2:12" ht="12.75" customHeight="1">
      <c r="B153" s="666">
        <v>5</v>
      </c>
      <c r="C153" s="667"/>
      <c r="D153" s="668" t="s">
        <v>59</v>
      </c>
      <c r="E153" s="669"/>
      <c r="F153" s="670"/>
      <c r="G153" s="668" t="s">
        <v>684</v>
      </c>
      <c r="H153" s="669"/>
      <c r="I153" s="670"/>
      <c r="J153" s="671" t="s">
        <v>67</v>
      </c>
      <c r="K153" s="672"/>
      <c r="L153" s="673"/>
    </row>
    <row r="154" ht="12.75">
      <c r="D154" s="1"/>
    </row>
    <row r="155" ht="12.75">
      <c r="D155" s="1"/>
    </row>
    <row r="157" spans="7:11" ht="12.75">
      <c r="G157" s="92">
        <f>'C. Masterfiles'!E$99</f>
        <v>2008</v>
      </c>
      <c r="H157" s="92">
        <f>'C. Masterfiles'!F$99</f>
        <v>2009</v>
      </c>
      <c r="I157" s="92">
        <f>'C. Masterfiles'!G$99</f>
        <v>2010</v>
      </c>
      <c r="J157" s="92">
        <f>'C. Masterfiles'!H$99</f>
        <v>2011</v>
      </c>
      <c r="K157" s="92">
        <f>'C. Masterfiles'!I$99</f>
        <v>2012</v>
      </c>
    </row>
    <row r="158" spans="7:11" ht="12.75">
      <c r="G158" s="92" t="str">
        <f>'C. Masterfiles'!$D$110</f>
        <v>Euro</v>
      </c>
      <c r="H158" s="92" t="str">
        <f>G158</f>
        <v>Euro</v>
      </c>
      <c r="I158" s="92" t="str">
        <f>H158</f>
        <v>Euro</v>
      </c>
      <c r="J158" s="127" t="s">
        <v>815</v>
      </c>
      <c r="K158" s="92" t="str">
        <f>J158</f>
        <v>Euro</v>
      </c>
    </row>
    <row r="159" spans="2:12" ht="12.75">
      <c r="B159" s="1" t="s">
        <v>47</v>
      </c>
      <c r="G159" s="344">
        <f>'7.Network costs'!F109</f>
        <v>101988952.2458267</v>
      </c>
      <c r="H159" s="344">
        <f>'7.Network costs'!G109</f>
        <v>91096918.75198925</v>
      </c>
      <c r="I159" s="344">
        <f>'7.Network costs'!H109</f>
        <v>83606463.6242036</v>
      </c>
      <c r="J159" s="344">
        <f>'7.Network costs'!I109</f>
        <v>76701244.41716827</v>
      </c>
      <c r="K159" s="344">
        <f>'7.Network costs'!J109</f>
        <v>69730011.0498094</v>
      </c>
      <c r="L159" s="514"/>
    </row>
    <row r="160" spans="2:12" ht="12.75">
      <c r="B160" s="1" t="s">
        <v>52</v>
      </c>
      <c r="G160" s="515">
        <v>27030306.002018582</v>
      </c>
      <c r="H160" s="515">
        <v>25852993.140917722</v>
      </c>
      <c r="I160" s="515">
        <v>24766529.164920833</v>
      </c>
      <c r="J160" s="515">
        <v>23771094.685340222</v>
      </c>
      <c r="K160" s="515">
        <v>22702587.793064818</v>
      </c>
      <c r="L160" s="514" t="s">
        <v>279</v>
      </c>
    </row>
    <row r="161" spans="2:12" ht="12.75">
      <c r="B161" s="83" t="s">
        <v>62</v>
      </c>
      <c r="G161" s="515">
        <v>25944382.529862292</v>
      </c>
      <c r="H161" s="515">
        <v>24808138.617156696</v>
      </c>
      <c r="I161" s="515">
        <v>23802987.842187446</v>
      </c>
      <c r="J161" s="515">
        <v>22910796.3674905</v>
      </c>
      <c r="K161" s="515">
        <v>21935273.238861084</v>
      </c>
      <c r="L161" s="514" t="s">
        <v>280</v>
      </c>
    </row>
    <row r="162" spans="2:12" ht="12.75">
      <c r="B162" s="1" t="s">
        <v>54</v>
      </c>
      <c r="G162" s="493">
        <f>G160-G161</f>
        <v>1085923.47215629</v>
      </c>
      <c r="H162" s="493">
        <f>H160-H161</f>
        <v>1044854.5237610266</v>
      </c>
      <c r="I162" s="493">
        <f>I160-I161</f>
        <v>963541.3227333874</v>
      </c>
      <c r="J162" s="493">
        <f>J160-J161</f>
        <v>860298.3178497218</v>
      </c>
      <c r="K162" s="493">
        <f>K160-K161</f>
        <v>767314.5542037338</v>
      </c>
      <c r="L162" s="514"/>
    </row>
    <row r="163" spans="2:12" ht="12.75">
      <c r="B163" s="1" t="s">
        <v>55</v>
      </c>
      <c r="G163" s="344">
        <f>'7.Network costs'!F94+'7.Network costs'!F97</f>
        <v>754118.3494868639</v>
      </c>
      <c r="H163" s="344">
        <f>'7.Network costs'!G94+'7.Network costs'!G97</f>
        <v>755756.4826177252</v>
      </c>
      <c r="I163" s="344">
        <f>'7.Network costs'!H94+'7.Network costs'!H97</f>
        <v>758712.370920775</v>
      </c>
      <c r="J163" s="344">
        <f>'7.Network costs'!I94+'7.Network costs'!I97</f>
        <v>763001.4605428714</v>
      </c>
      <c r="K163" s="344">
        <f>'7.Network costs'!J94+'7.Network costs'!J97</f>
        <v>768642.2650025216</v>
      </c>
      <c r="L163" s="514"/>
    </row>
    <row r="164" spans="2:12" ht="12.75">
      <c r="B164" s="83" t="s">
        <v>58</v>
      </c>
      <c r="G164" s="515">
        <v>702005.2063191105</v>
      </c>
      <c r="H164" s="515">
        <v>704248.8602330273</v>
      </c>
      <c r="I164" s="515">
        <v>707548.4144419858</v>
      </c>
      <c r="J164" s="515">
        <v>711923.4603351858</v>
      </c>
      <c r="K164" s="515">
        <v>717395.9494074765</v>
      </c>
      <c r="L164" s="514" t="s">
        <v>282</v>
      </c>
    </row>
    <row r="165" spans="2:12" ht="12.75">
      <c r="B165" s="1" t="s">
        <v>51</v>
      </c>
      <c r="G165" s="493">
        <f>G162+G164</f>
        <v>1787928.6784754004</v>
      </c>
      <c r="H165" s="493">
        <f>H162+H164</f>
        <v>1749103.3839940538</v>
      </c>
      <c r="I165" s="493">
        <f>I162+I164</f>
        <v>1671089.7371753731</v>
      </c>
      <c r="J165" s="493">
        <f>J162+J164</f>
        <v>1572221.7781849075</v>
      </c>
      <c r="K165" s="493">
        <f>K162+K164</f>
        <v>1484710.5036112103</v>
      </c>
      <c r="L165" s="514"/>
    </row>
    <row r="166" spans="2:12" ht="12.75">
      <c r="B166" s="1" t="s">
        <v>48</v>
      </c>
      <c r="G166" s="344">
        <f>(SUM('2.Traffic'!F128:F130)*1000000)</f>
        <v>601009175.3017007</v>
      </c>
      <c r="H166" s="344">
        <f>(SUM('2.Traffic'!G128:G130)*1000000)</f>
        <v>569543070.3629252</v>
      </c>
      <c r="I166" s="344">
        <f>(SUM('2.Traffic'!H128:H130)*1000000)</f>
        <v>569378478.7551929</v>
      </c>
      <c r="J166" s="344">
        <f>(SUM('2.Traffic'!I128:I130)*1000000)</f>
        <v>560070939.7533685</v>
      </c>
      <c r="K166" s="344">
        <f>(SUM('2.Traffic'!J128:J130)*1000000)</f>
        <v>541729398.9409306</v>
      </c>
      <c r="L166" s="514"/>
    </row>
    <row r="167" spans="2:12" ht="12.75">
      <c r="B167" s="1" t="s">
        <v>49</v>
      </c>
      <c r="G167" s="515">
        <v>306637334.3376024</v>
      </c>
      <c r="H167" s="515">
        <v>292824200.70073277</v>
      </c>
      <c r="I167" s="515">
        <v>295014755.83170617</v>
      </c>
      <c r="J167" s="515">
        <v>292465242.69105405</v>
      </c>
      <c r="K167" s="515">
        <v>285120736.28470033</v>
      </c>
      <c r="L167" s="514" t="s">
        <v>283</v>
      </c>
    </row>
    <row r="168" spans="2:11" ht="12.75">
      <c r="B168" s="1" t="s">
        <v>50</v>
      </c>
      <c r="G168" s="532">
        <f>G165/G167*100</f>
        <v>0.5830759918187007</v>
      </c>
      <c r="H168" s="532">
        <f>H165/H167*100</f>
        <v>0.5973220040585522</v>
      </c>
      <c r="I168" s="532">
        <f>I165/I167*100</f>
        <v>0.5664427640116624</v>
      </c>
      <c r="J168" s="532">
        <f>J165/J167*100</f>
        <v>0.5375755982893754</v>
      </c>
      <c r="K168" s="532">
        <f>K165/K167*100</f>
        <v>0.5207304536870615</v>
      </c>
    </row>
    <row r="173" spans="1:4" ht="15.75">
      <c r="A173" s="153" t="s">
        <v>73</v>
      </c>
      <c r="B173" s="153" t="s">
        <v>243</v>
      </c>
      <c r="D173" s="1"/>
    </row>
    <row r="174" spans="1:4" s="260" customFormat="1" ht="12.75" customHeight="1">
      <c r="A174" s="1"/>
      <c r="B174" s="252"/>
      <c r="C174" s="253"/>
      <c r="D174" s="261"/>
    </row>
    <row r="175" spans="2:9" ht="12.75">
      <c r="B175" s="513"/>
      <c r="C175" s="531"/>
      <c r="D175" s="1"/>
      <c r="F175" s="92">
        <f>'C. Masterfiles'!F$99</f>
        <v>2009</v>
      </c>
      <c r="G175" s="92">
        <f>'C. Masterfiles'!G$99</f>
        <v>2010</v>
      </c>
      <c r="H175" s="92">
        <f>'C. Masterfiles'!H$99</f>
        <v>2011</v>
      </c>
      <c r="I175" s="92">
        <f>'C. Masterfiles'!I$99</f>
        <v>2012</v>
      </c>
    </row>
    <row r="176" spans="2:10" ht="12.75">
      <c r="B176" s="57"/>
      <c r="D176" s="528" t="s">
        <v>229</v>
      </c>
      <c r="E176" s="516"/>
      <c r="F176" s="532">
        <f>F80/F82*G168</f>
        <v>0.1505102223434831</v>
      </c>
      <c r="G176" s="532">
        <f>G80/G82*H168</f>
        <v>0.15945324188148066</v>
      </c>
      <c r="H176" s="532">
        <f>H80/H82*I168</f>
        <v>0.15967288263478255</v>
      </c>
      <c r="I176" s="532">
        <f>I80/I82*J168</f>
        <v>0.16201351693801813</v>
      </c>
      <c r="J176" s="514"/>
    </row>
    <row r="177" spans="2:10" ht="12.75">
      <c r="B177" s="57"/>
      <c r="D177" s="528" t="s">
        <v>233</v>
      </c>
      <c r="E177" s="516"/>
      <c r="F177" s="532">
        <f>F81/F82*G168</f>
        <v>0.6397359810890261</v>
      </c>
      <c r="G177" s="532">
        <f>G81/G82*H168</f>
        <v>0.6624802603462923</v>
      </c>
      <c r="H177" s="532">
        <f>H81/H82*I168</f>
        <v>0.6359546837075553</v>
      </c>
      <c r="I177" s="532">
        <f>I81/I82*J168</f>
        <v>0.6112965844947184</v>
      </c>
      <c r="J177" s="514"/>
    </row>
    <row r="180" ht="12.75">
      <c r="C180" s="549" t="s">
        <v>271</v>
      </c>
    </row>
  </sheetData>
  <sheetProtection/>
  <mergeCells count="39">
    <mergeCell ref="J149:L149"/>
    <mergeCell ref="G148:I148"/>
    <mergeCell ref="D151:F151"/>
    <mergeCell ref="J150:L150"/>
    <mergeCell ref="J151:L151"/>
    <mergeCell ref="J148:L148"/>
    <mergeCell ref="G151:I151"/>
    <mergeCell ref="G150:I150"/>
    <mergeCell ref="G149:I149"/>
    <mergeCell ref="D91:E91"/>
    <mergeCell ref="D117:E117"/>
    <mergeCell ref="D118:E118"/>
    <mergeCell ref="B148:C148"/>
    <mergeCell ref="B149:C149"/>
    <mergeCell ref="B150:C150"/>
    <mergeCell ref="D150:F150"/>
    <mergeCell ref="D148:F148"/>
    <mergeCell ref="D149:F149"/>
    <mergeCell ref="G153:I153"/>
    <mergeCell ref="J153:L153"/>
    <mergeCell ref="D152:F152"/>
    <mergeCell ref="G152:I152"/>
    <mergeCell ref="J152:L152"/>
    <mergeCell ref="D60:E60"/>
    <mergeCell ref="D82:E82"/>
    <mergeCell ref="D76:E76"/>
    <mergeCell ref="B153:C153"/>
    <mergeCell ref="D153:F153"/>
    <mergeCell ref="B152:C152"/>
    <mergeCell ref="B151:C151"/>
    <mergeCell ref="D80:E80"/>
    <mergeCell ref="D61:E61"/>
    <mergeCell ref="D62:E62"/>
    <mergeCell ref="D68:E68"/>
    <mergeCell ref="D69:E69"/>
    <mergeCell ref="D81:E81"/>
    <mergeCell ref="D90:E90"/>
    <mergeCell ref="D74:E74"/>
    <mergeCell ref="D75:E75"/>
  </mergeCells>
  <printOptions/>
  <pageMargins left="0.75" right="0.75" top="1" bottom="1" header="0.5" footer="0.5"/>
  <pageSetup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204"/>
  <sheetViews>
    <sheetView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3.7109375" style="1" bestFit="1" customWidth="1"/>
    <col min="2" max="2" width="15.7109375" style="54" customWidth="1"/>
    <col min="3" max="3" width="4.7109375" style="1" customWidth="1"/>
    <col min="4" max="4" width="13.28125" style="123" customWidth="1"/>
    <col min="5" max="5" width="30.7109375" style="1" customWidth="1"/>
    <col min="6" max="6" width="13.421875" style="1" customWidth="1"/>
    <col min="7" max="7" width="13.8515625" style="1" customWidth="1"/>
    <col min="8" max="8" width="12.28125" style="1" bestFit="1" customWidth="1"/>
    <col min="9" max="9" width="12.00390625" style="1" bestFit="1" customWidth="1"/>
    <col min="10" max="10" width="12.28125" style="1" bestFit="1" customWidth="1"/>
    <col min="11" max="12" width="12.00390625" style="1" bestFit="1" customWidth="1"/>
    <col min="13" max="13" width="12.00390625" style="1" customWidth="1"/>
    <col min="14" max="14" width="10.8515625" style="1" customWidth="1"/>
    <col min="15" max="15" width="11.7109375" style="1" customWidth="1"/>
    <col min="16" max="16" width="8.00390625" style="1" bestFit="1" customWidth="1"/>
    <col min="17" max="20" width="12.00390625" style="1" customWidth="1"/>
    <col min="21" max="21" width="10.57421875" style="1" bestFit="1" customWidth="1"/>
    <col min="22" max="25" width="12.00390625" style="1" customWidth="1"/>
    <col min="26" max="26" width="8.00390625" style="1" bestFit="1" customWidth="1"/>
    <col min="27" max="30" width="12.00390625" style="1" customWidth="1"/>
    <col min="31" max="32" width="8.8515625" style="1" bestFit="1" customWidth="1"/>
    <col min="33" max="33" width="10.57421875" style="1" bestFit="1" customWidth="1"/>
    <col min="34" max="34" width="8.8515625" style="1" bestFit="1" customWidth="1"/>
    <col min="35" max="35" width="9.140625" style="1" customWidth="1"/>
    <col min="36" max="37" width="6.7109375" style="1" customWidth="1"/>
    <col min="38" max="42" width="8.140625" style="1" customWidth="1"/>
    <col min="43" max="100" width="6.7109375" style="1" customWidth="1"/>
    <col min="101" max="101" width="5.7109375" style="1" customWidth="1"/>
    <col min="102" max="103" width="9.140625" style="1" hidden="1" customWidth="1"/>
    <col min="104" max="104" width="3.00390625" style="1" customWidth="1"/>
    <col min="105" max="16384" width="9.140625" style="1" customWidth="1"/>
  </cols>
  <sheetData>
    <row r="1" spans="1:5" ht="23.25">
      <c r="A1" s="252">
        <v>1</v>
      </c>
      <c r="B1" s="266" t="s">
        <v>670</v>
      </c>
      <c r="D1" s="263"/>
      <c r="E1" s="262"/>
    </row>
    <row r="3" spans="2:11" ht="12.75">
      <c r="B3" s="598" t="s">
        <v>247</v>
      </c>
      <c r="C3" s="534" t="s">
        <v>262</v>
      </c>
      <c r="D3" s="280"/>
      <c r="E3" s="280"/>
      <c r="F3" s="280"/>
      <c r="G3" s="280"/>
      <c r="H3" s="280"/>
      <c r="I3" s="280"/>
      <c r="J3" s="280"/>
      <c r="K3" s="280"/>
    </row>
    <row r="4" spans="2:11" ht="12.75">
      <c r="B4" s="599" t="s">
        <v>249</v>
      </c>
      <c r="C4" s="244" t="s">
        <v>263</v>
      </c>
      <c r="D4" s="243"/>
      <c r="E4" s="243"/>
      <c r="F4" s="243"/>
      <c r="G4" s="243"/>
      <c r="H4" s="243"/>
      <c r="I4" s="243"/>
      <c r="J4" s="243"/>
      <c r="K4" s="243"/>
    </row>
    <row r="5" spans="2:11" ht="12.75">
      <c r="B5" s="600" t="s">
        <v>251</v>
      </c>
      <c r="C5" s="535" t="s">
        <v>264</v>
      </c>
      <c r="D5" s="324"/>
      <c r="E5" s="324"/>
      <c r="F5" s="324"/>
      <c r="G5" s="324"/>
      <c r="H5" s="324"/>
      <c r="I5" s="324"/>
      <c r="J5" s="324"/>
      <c r="K5" s="324"/>
    </row>
    <row r="6" spans="2:11" ht="12.75">
      <c r="B6" s="601" t="s">
        <v>252</v>
      </c>
      <c r="C6" s="258" t="s">
        <v>265</v>
      </c>
      <c r="D6" s="281"/>
      <c r="E6" s="281"/>
      <c r="F6" s="281"/>
      <c r="G6" s="281"/>
      <c r="H6" s="281"/>
      <c r="I6" s="281"/>
      <c r="J6" s="281"/>
      <c r="K6" s="281"/>
    </row>
    <row r="7" spans="2:14" ht="12.75" customHeight="1">
      <c r="B7" s="681" t="s">
        <v>254</v>
      </c>
      <c r="C7" s="259" t="s">
        <v>289</v>
      </c>
      <c r="D7" s="259"/>
      <c r="E7" s="259"/>
      <c r="F7" s="259"/>
      <c r="G7" s="259"/>
      <c r="H7" s="259"/>
      <c r="I7" s="259"/>
      <c r="J7" s="259"/>
      <c r="K7" s="259"/>
      <c r="L7" s="123"/>
      <c r="M7" s="123"/>
      <c r="N7" s="123"/>
    </row>
    <row r="8" spans="2:14" ht="12.75">
      <c r="B8" s="681"/>
      <c r="C8" s="259" t="s">
        <v>290</v>
      </c>
      <c r="D8" s="259"/>
      <c r="E8" s="259"/>
      <c r="F8" s="259"/>
      <c r="G8" s="259"/>
      <c r="H8" s="259"/>
      <c r="I8" s="259"/>
      <c r="J8" s="259"/>
      <c r="K8" s="259"/>
      <c r="L8" s="123"/>
      <c r="M8" s="123"/>
      <c r="N8" s="123"/>
    </row>
    <row r="9" spans="6:15" ht="12.75">
      <c r="F9" s="3"/>
      <c r="G9" s="3"/>
      <c r="H9" s="3"/>
      <c r="I9" s="3"/>
      <c r="J9" s="3"/>
      <c r="K9" s="3"/>
      <c r="L9" s="3"/>
      <c r="N9" s="3"/>
      <c r="O9" s="3"/>
    </row>
    <row r="10" spans="8:12" ht="12.75">
      <c r="H10" s="3"/>
      <c r="I10" s="7"/>
      <c r="K10" s="3"/>
      <c r="L10" s="3"/>
    </row>
    <row r="11" spans="2:12" ht="15.75">
      <c r="B11" s="68">
        <v>1.01</v>
      </c>
      <c r="C11" s="67"/>
      <c r="D11" s="68" t="s">
        <v>923</v>
      </c>
      <c r="E11" s="66"/>
      <c r="F11" s="66"/>
      <c r="G11" s="66"/>
      <c r="H11" s="66"/>
      <c r="I11" s="66"/>
      <c r="J11" s="69"/>
      <c r="K11" s="3"/>
      <c r="L11" s="3"/>
    </row>
    <row r="12" spans="2:12" ht="12.75">
      <c r="B12" s="77"/>
      <c r="C12" s="73"/>
      <c r="D12" s="220"/>
      <c r="E12" s="73"/>
      <c r="F12" s="73"/>
      <c r="G12" s="73"/>
      <c r="H12" s="73"/>
      <c r="I12" s="73"/>
      <c r="J12" s="75"/>
      <c r="K12" s="3"/>
      <c r="L12" s="3"/>
    </row>
    <row r="13" spans="2:12" ht="12.75">
      <c r="B13" s="80"/>
      <c r="C13" s="79"/>
      <c r="D13" s="80" t="s">
        <v>925</v>
      </c>
      <c r="E13" s="79"/>
      <c r="F13" s="81"/>
      <c r="G13" s="82"/>
      <c r="H13" s="82"/>
      <c r="I13" s="82"/>
      <c r="J13" s="82"/>
      <c r="K13" s="3"/>
      <c r="L13" s="3"/>
    </row>
    <row r="14" spans="2:12" ht="12.75">
      <c r="B14" s="80"/>
      <c r="C14" s="79"/>
      <c r="D14" s="80"/>
      <c r="E14" s="79"/>
      <c r="F14" s="81"/>
      <c r="G14" s="82"/>
      <c r="H14" s="82"/>
      <c r="I14" s="82"/>
      <c r="J14" s="82"/>
      <c r="K14" s="3"/>
      <c r="L14" s="3"/>
    </row>
    <row r="15" spans="2:7" ht="12.75">
      <c r="B15" s="80"/>
      <c r="C15" s="264"/>
      <c r="D15" s="1"/>
      <c r="F15" s="658" t="s">
        <v>923</v>
      </c>
      <c r="G15" s="678"/>
    </row>
    <row r="16" spans="2:7" ht="12.75">
      <c r="B16" s="85"/>
      <c r="C16" s="83"/>
      <c r="D16" s="295" t="s">
        <v>634</v>
      </c>
      <c r="E16" s="533" t="s">
        <v>76</v>
      </c>
      <c r="F16" s="92" t="s">
        <v>652</v>
      </c>
      <c r="G16" s="293" t="s">
        <v>635</v>
      </c>
    </row>
    <row r="17" spans="2:7" ht="12.75">
      <c r="B17" s="77"/>
      <c r="C17" s="73"/>
      <c r="D17" s="42" t="str">
        <f>'C. Masterfiles'!C13</f>
        <v>D01</v>
      </c>
      <c r="E17" s="42" t="str">
        <f>'C. Masterfiles'!D13</f>
        <v>Chişinǎu</v>
      </c>
      <c r="F17" s="469" t="s">
        <v>924</v>
      </c>
      <c r="G17" s="470">
        <v>785.4</v>
      </c>
    </row>
    <row r="18" spans="2:7" ht="12.75">
      <c r="B18" s="77"/>
      <c r="C18" s="73"/>
      <c r="D18" s="42" t="str">
        <f>'C. Masterfiles'!C14</f>
        <v>D02</v>
      </c>
      <c r="E18" s="42" t="str">
        <f>'C. Masterfiles'!D14</f>
        <v>Bǎlţi</v>
      </c>
      <c r="F18" s="469" t="s">
        <v>924</v>
      </c>
      <c r="G18" s="470">
        <v>148</v>
      </c>
    </row>
    <row r="19" spans="2:7" ht="12.75">
      <c r="B19" s="77"/>
      <c r="C19" s="73"/>
      <c r="D19" s="42" t="str">
        <f>'C. Masterfiles'!C15</f>
        <v>D03</v>
      </c>
      <c r="E19" s="42" t="str">
        <f>'C. Masterfiles'!D15</f>
        <v>Anenii Noi</v>
      </c>
      <c r="F19" s="469" t="s">
        <v>924</v>
      </c>
      <c r="G19" s="470">
        <v>83.1</v>
      </c>
    </row>
    <row r="20" spans="2:7" ht="12.75">
      <c r="B20" s="77"/>
      <c r="C20" s="73"/>
      <c r="D20" s="42" t="str">
        <f>'C. Masterfiles'!C16</f>
        <v>D04</v>
      </c>
      <c r="E20" s="42" t="str">
        <f>'C. Masterfiles'!D16</f>
        <v>Basarabeasca</v>
      </c>
      <c r="F20" s="469" t="s">
        <v>924</v>
      </c>
      <c r="G20" s="470">
        <v>29.5</v>
      </c>
    </row>
    <row r="21" spans="2:7" ht="12.75">
      <c r="B21" s="77"/>
      <c r="C21" s="73"/>
      <c r="D21" s="42" t="str">
        <f>'C. Masterfiles'!C17</f>
        <v>D05</v>
      </c>
      <c r="E21" s="42" t="str">
        <f>'C. Masterfiles'!D17</f>
        <v>Briceni</v>
      </c>
      <c r="F21" s="469" t="s">
        <v>924</v>
      </c>
      <c r="G21" s="470">
        <v>76.2</v>
      </c>
    </row>
    <row r="22" spans="2:7" ht="12.75">
      <c r="B22" s="77"/>
      <c r="C22" s="73"/>
      <c r="D22" s="42" t="str">
        <f>'C. Masterfiles'!C18</f>
        <v>D06</v>
      </c>
      <c r="E22" s="42" t="str">
        <f>'C. Masterfiles'!D18</f>
        <v>Cahul</v>
      </c>
      <c r="F22" s="469" t="s">
        <v>924</v>
      </c>
      <c r="G22" s="470">
        <v>123.9</v>
      </c>
    </row>
    <row r="23" spans="2:7" ht="12.75">
      <c r="B23" s="77"/>
      <c r="C23" s="73"/>
      <c r="D23" s="42" t="str">
        <f>'C. Masterfiles'!C19</f>
        <v>D07</v>
      </c>
      <c r="E23" s="42" t="str">
        <f>'C. Masterfiles'!D19</f>
        <v>Cantemir</v>
      </c>
      <c r="F23" s="469" t="s">
        <v>924</v>
      </c>
      <c r="G23" s="470">
        <v>63.3</v>
      </c>
    </row>
    <row r="24" spans="2:7" ht="12.75">
      <c r="B24" s="77"/>
      <c r="C24" s="73"/>
      <c r="D24" s="42" t="str">
        <f>'C. Masterfiles'!C20</f>
        <v>D08</v>
      </c>
      <c r="E24" s="42" t="str">
        <f>'C. Masterfiles'!D20</f>
        <v>Cǎlǎraşi</v>
      </c>
      <c r="F24" s="469" t="s">
        <v>924</v>
      </c>
      <c r="G24" s="470">
        <v>79.3</v>
      </c>
    </row>
    <row r="25" spans="2:7" ht="12.75">
      <c r="B25" s="77"/>
      <c r="C25" s="73"/>
      <c r="D25" s="42" t="str">
        <f>'C. Masterfiles'!C21</f>
        <v>D09</v>
      </c>
      <c r="E25" s="42" t="str">
        <f>'C. Masterfiles'!D21</f>
        <v>Cǎuşeni</v>
      </c>
      <c r="F25" s="469" t="s">
        <v>924</v>
      </c>
      <c r="G25" s="470">
        <v>92.7</v>
      </c>
    </row>
    <row r="26" spans="2:7" ht="12.75">
      <c r="B26" s="77"/>
      <c r="C26" s="73"/>
      <c r="D26" s="42" t="str">
        <f>'C. Masterfiles'!C22</f>
        <v>D10</v>
      </c>
      <c r="E26" s="42" t="str">
        <f>'C. Masterfiles'!D22</f>
        <v>Cimişlia</v>
      </c>
      <c r="F26" s="469" t="s">
        <v>924</v>
      </c>
      <c r="G26" s="470">
        <v>62.6</v>
      </c>
    </row>
    <row r="27" spans="2:7" ht="12.75">
      <c r="B27" s="77"/>
      <c r="C27" s="73"/>
      <c r="D27" s="42" t="str">
        <f>'C. Masterfiles'!C23</f>
        <v>D11</v>
      </c>
      <c r="E27" s="42" t="str">
        <f>'C. Masterfiles'!D23</f>
        <v>Criuleni</v>
      </c>
      <c r="F27" s="469" t="s">
        <v>924</v>
      </c>
      <c r="G27" s="470">
        <v>72.8</v>
      </c>
    </row>
    <row r="28" spans="2:7" ht="12.75">
      <c r="B28" s="77"/>
      <c r="C28" s="73"/>
      <c r="D28" s="42" t="str">
        <f>'C. Masterfiles'!C24</f>
        <v>D12</v>
      </c>
      <c r="E28" s="42" t="str">
        <f>'C. Masterfiles'!D24</f>
        <v>Donduşeni</v>
      </c>
      <c r="F28" s="469" t="s">
        <v>924</v>
      </c>
      <c r="G28" s="470">
        <v>46</v>
      </c>
    </row>
    <row r="29" spans="2:7" ht="12.75">
      <c r="B29" s="77"/>
      <c r="C29" s="73"/>
      <c r="D29" s="42" t="str">
        <f>'C. Masterfiles'!C25</f>
        <v>D13</v>
      </c>
      <c r="E29" s="42" t="str">
        <f>'C. Masterfiles'!D25</f>
        <v>Drochia</v>
      </c>
      <c r="F29" s="469" t="s">
        <v>924</v>
      </c>
      <c r="G29" s="470">
        <v>91.1</v>
      </c>
    </row>
    <row r="30" spans="2:7" ht="12.75">
      <c r="B30" s="77"/>
      <c r="C30" s="73"/>
      <c r="D30" s="42" t="str">
        <f>'C. Masterfiles'!C26</f>
        <v>D14</v>
      </c>
      <c r="E30" s="42" t="str">
        <f>'C. Masterfiles'!D26</f>
        <v>Dubusǎri</v>
      </c>
      <c r="F30" s="469" t="s">
        <v>924</v>
      </c>
      <c r="G30" s="470">
        <v>35.2</v>
      </c>
    </row>
    <row r="31" spans="2:7" ht="12.75">
      <c r="B31" s="77"/>
      <c r="C31" s="73"/>
      <c r="D31" s="42" t="str">
        <f>'C. Masterfiles'!C27</f>
        <v>D15</v>
      </c>
      <c r="E31" s="42" t="str">
        <f>'C. Masterfiles'!D27</f>
        <v>Edineţ</v>
      </c>
      <c r="F31" s="469" t="s">
        <v>924</v>
      </c>
      <c r="G31" s="470">
        <v>83.4</v>
      </c>
    </row>
    <row r="32" spans="2:7" ht="12.75">
      <c r="B32" s="77"/>
      <c r="C32" s="73"/>
      <c r="D32" s="42" t="str">
        <f>'C. Masterfiles'!C28</f>
        <v>D16</v>
      </c>
      <c r="E32" s="42" t="str">
        <f>'C. Masterfiles'!D28</f>
        <v>Fǎleşti</v>
      </c>
      <c r="F32" s="469" t="s">
        <v>924</v>
      </c>
      <c r="G32" s="470">
        <v>93.30000000000001</v>
      </c>
    </row>
    <row r="33" spans="2:7" ht="12.75">
      <c r="B33" s="77"/>
      <c r="C33" s="73"/>
      <c r="D33" s="42" t="str">
        <f>'C. Masterfiles'!C29</f>
        <v>D17</v>
      </c>
      <c r="E33" s="42" t="str">
        <f>'C. Masterfiles'!D29</f>
        <v>Floreşti</v>
      </c>
      <c r="F33" s="469" t="s">
        <v>924</v>
      </c>
      <c r="G33" s="470">
        <v>91</v>
      </c>
    </row>
    <row r="34" spans="2:7" ht="12.75">
      <c r="B34" s="77"/>
      <c r="C34" s="73"/>
      <c r="D34" s="42" t="str">
        <f>'C. Masterfiles'!C30</f>
        <v>D18</v>
      </c>
      <c r="E34" s="42" t="str">
        <f>'C. Masterfiles'!D30</f>
        <v>Glodeni</v>
      </c>
      <c r="F34" s="469" t="s">
        <v>924</v>
      </c>
      <c r="G34" s="470">
        <v>62.599999999999994</v>
      </c>
    </row>
    <row r="35" spans="2:7" ht="12.75">
      <c r="B35" s="77"/>
      <c r="C35" s="73"/>
      <c r="D35" s="42" t="str">
        <f>'C. Masterfiles'!C31</f>
        <v>D19</v>
      </c>
      <c r="E35" s="42" t="str">
        <f>'C. Masterfiles'!D31</f>
        <v>Hinceşti</v>
      </c>
      <c r="F35" s="469" t="s">
        <v>924</v>
      </c>
      <c r="G35" s="470">
        <v>123.3</v>
      </c>
    </row>
    <row r="36" spans="2:7" ht="12.75">
      <c r="B36" s="77"/>
      <c r="C36" s="73"/>
      <c r="D36" s="42" t="str">
        <f>'C. Masterfiles'!C32</f>
        <v>D20</v>
      </c>
      <c r="E36" s="42" t="str">
        <f>'C. Masterfiles'!D32</f>
        <v>Ialoveni</v>
      </c>
      <c r="F36" s="469" t="s">
        <v>924</v>
      </c>
      <c r="G36" s="470">
        <v>98.2</v>
      </c>
    </row>
    <row r="37" spans="2:7" ht="12.75">
      <c r="B37" s="77"/>
      <c r="C37" s="73"/>
      <c r="D37" s="42" t="str">
        <f>'C. Masterfiles'!C33</f>
        <v>D21</v>
      </c>
      <c r="E37" s="42" t="str">
        <f>'C. Masterfiles'!D33</f>
        <v>Leova</v>
      </c>
      <c r="F37" s="469" t="s">
        <v>924</v>
      </c>
      <c r="G37" s="470">
        <v>53.900000000000006</v>
      </c>
    </row>
    <row r="38" spans="2:7" ht="12.75">
      <c r="B38" s="77"/>
      <c r="C38" s="73"/>
      <c r="D38" s="42" t="str">
        <f>'C. Masterfiles'!C34</f>
        <v>D22</v>
      </c>
      <c r="E38" s="42" t="str">
        <f>'C. Masterfiles'!D34</f>
        <v>Nisporeni</v>
      </c>
      <c r="F38" s="469" t="s">
        <v>924</v>
      </c>
      <c r="G38" s="470">
        <v>67.4</v>
      </c>
    </row>
    <row r="39" spans="2:7" ht="12.75">
      <c r="B39" s="77"/>
      <c r="C39" s="73"/>
      <c r="D39" s="42" t="str">
        <f>'C. Masterfiles'!C35</f>
        <v>D23</v>
      </c>
      <c r="E39" s="42" t="str">
        <f>'C. Masterfiles'!D35</f>
        <v>Ocniţa</v>
      </c>
      <c r="F39" s="469" t="s">
        <v>924</v>
      </c>
      <c r="G39" s="470">
        <v>56.4</v>
      </c>
    </row>
    <row r="40" spans="2:7" ht="12.75">
      <c r="B40" s="77"/>
      <c r="C40" s="73"/>
      <c r="D40" s="42" t="str">
        <f>'C. Masterfiles'!C36</f>
        <v>D24</v>
      </c>
      <c r="E40" s="42" t="str">
        <f>'C. Masterfiles'!D36</f>
        <v>Orhei</v>
      </c>
      <c r="F40" s="469" t="s">
        <v>924</v>
      </c>
      <c r="G40" s="470">
        <v>125.69999999999999</v>
      </c>
    </row>
    <row r="41" spans="2:7" ht="12.75">
      <c r="B41" s="77"/>
      <c r="C41" s="73"/>
      <c r="D41" s="42" t="str">
        <f>'C. Masterfiles'!C37</f>
        <v>D25</v>
      </c>
      <c r="E41" s="42" t="str">
        <f>'C. Masterfiles'!D37</f>
        <v>Rezina</v>
      </c>
      <c r="F41" s="469" t="s">
        <v>924</v>
      </c>
      <c r="G41" s="470">
        <v>53.1</v>
      </c>
    </row>
    <row r="42" spans="2:7" ht="12.75">
      <c r="B42" s="77"/>
      <c r="C42" s="73"/>
      <c r="D42" s="42" t="str">
        <f>'C. Masterfiles'!C38</f>
        <v>D26</v>
      </c>
      <c r="E42" s="42" t="str">
        <f>'C. Masterfiles'!D38</f>
        <v>Rîşcani</v>
      </c>
      <c r="F42" s="469" t="s">
        <v>924</v>
      </c>
      <c r="G42" s="470">
        <v>70.9</v>
      </c>
    </row>
    <row r="43" spans="2:7" ht="12.75">
      <c r="B43" s="77"/>
      <c r="C43" s="73"/>
      <c r="D43" s="42" t="str">
        <f>'C. Masterfiles'!C39</f>
        <v>D27</v>
      </c>
      <c r="E43" s="42" t="str">
        <f>'C. Masterfiles'!D39</f>
        <v>Sîngerei</v>
      </c>
      <c r="F43" s="469" t="s">
        <v>924</v>
      </c>
      <c r="G43" s="470">
        <v>93.8</v>
      </c>
    </row>
    <row r="44" spans="2:7" ht="12.75">
      <c r="B44" s="77"/>
      <c r="C44" s="73"/>
      <c r="D44" s="42" t="str">
        <f>'C. Masterfiles'!C40</f>
        <v>D28</v>
      </c>
      <c r="E44" s="42" t="str">
        <f>'C. Masterfiles'!D40</f>
        <v>Soroca</v>
      </c>
      <c r="F44" s="469" t="s">
        <v>924</v>
      </c>
      <c r="G44" s="470">
        <v>101.1</v>
      </c>
    </row>
    <row r="45" spans="2:7" ht="12.75">
      <c r="B45" s="77"/>
      <c r="C45" s="73"/>
      <c r="D45" s="42" t="str">
        <f>'C. Masterfiles'!C41</f>
        <v>D29</v>
      </c>
      <c r="E45" s="42" t="str">
        <f>'C. Masterfiles'!D41</f>
        <v>Strǎşeni</v>
      </c>
      <c r="F45" s="469" t="s">
        <v>924</v>
      </c>
      <c r="G45" s="470">
        <v>91.4</v>
      </c>
    </row>
    <row r="46" spans="2:7" ht="12.75">
      <c r="B46" s="77"/>
      <c r="C46" s="73"/>
      <c r="D46" s="42" t="str">
        <f>'C. Masterfiles'!C42</f>
        <v>D30</v>
      </c>
      <c r="E46" s="42" t="str">
        <f>'C. Masterfiles'!D42</f>
        <v>Şoldăneşti</v>
      </c>
      <c r="F46" s="469" t="s">
        <v>924</v>
      </c>
      <c r="G46" s="470">
        <v>43.9</v>
      </c>
    </row>
    <row r="47" spans="2:7" ht="12.75">
      <c r="B47" s="77"/>
      <c r="C47" s="73"/>
      <c r="D47" s="42" t="str">
        <f>'C. Masterfiles'!C43</f>
        <v>D31</v>
      </c>
      <c r="E47" s="42" t="str">
        <f>'C. Masterfiles'!D43</f>
        <v>Ştefan Vodă</v>
      </c>
      <c r="F47" s="469" t="s">
        <v>924</v>
      </c>
      <c r="G47" s="470">
        <v>72.5</v>
      </c>
    </row>
    <row r="48" spans="2:7" ht="12.75">
      <c r="B48" s="77"/>
      <c r="C48" s="73"/>
      <c r="D48" s="42" t="str">
        <f>'C. Masterfiles'!C44</f>
        <v>D32</v>
      </c>
      <c r="E48" s="42" t="str">
        <f>'C. Masterfiles'!D44</f>
        <v>Taraclia</v>
      </c>
      <c r="F48" s="469" t="s">
        <v>924</v>
      </c>
      <c r="G48" s="470">
        <v>44.5</v>
      </c>
    </row>
    <row r="49" spans="2:7" ht="12.75">
      <c r="B49" s="77"/>
      <c r="C49" s="73"/>
      <c r="D49" s="42" t="str">
        <f>'C. Masterfiles'!C45</f>
        <v>D33</v>
      </c>
      <c r="E49" s="42" t="str">
        <f>'C. Masterfiles'!D45</f>
        <v>Teleneşti</v>
      </c>
      <c r="F49" s="469" t="s">
        <v>924</v>
      </c>
      <c r="G49" s="470">
        <v>74.9</v>
      </c>
    </row>
    <row r="50" spans="2:7" ht="12.75">
      <c r="B50" s="77"/>
      <c r="C50" s="73"/>
      <c r="D50" s="42" t="str">
        <f>'C. Masterfiles'!C46</f>
        <v>D34</v>
      </c>
      <c r="E50" s="42" t="str">
        <f>'C. Masterfiles'!D46</f>
        <v>Ungheni</v>
      </c>
      <c r="F50" s="469" t="s">
        <v>924</v>
      </c>
      <c r="G50" s="470">
        <v>117.19999999999999</v>
      </c>
    </row>
    <row r="51" spans="2:7" ht="12.75">
      <c r="B51" s="77"/>
      <c r="C51" s="73"/>
      <c r="D51" s="42" t="str">
        <f>'C. Masterfiles'!C47</f>
        <v>D35</v>
      </c>
      <c r="E51" s="42" t="str">
        <f>'C. Masterfiles'!D47</f>
        <v>Găgăuzia</v>
      </c>
      <c r="F51" s="469" t="s">
        <v>924</v>
      </c>
      <c r="G51" s="470">
        <v>159.89999999999998</v>
      </c>
    </row>
    <row r="52" spans="2:7" ht="12.75">
      <c r="B52" s="77"/>
      <c r="C52" s="73"/>
      <c r="D52" s="490" t="s">
        <v>635</v>
      </c>
      <c r="E52" s="490" t="s">
        <v>635</v>
      </c>
      <c r="F52" s="492" t="s">
        <v>924</v>
      </c>
      <c r="G52" s="491">
        <f>SUM(G17:G51)</f>
        <v>3567.5000000000005</v>
      </c>
    </row>
    <row r="53" spans="8:12" ht="12.75">
      <c r="H53" s="3"/>
      <c r="I53" s="7"/>
      <c r="K53" s="3"/>
      <c r="L53" s="3"/>
    </row>
    <row r="54" spans="8:12" ht="12.75">
      <c r="H54" s="3"/>
      <c r="I54" s="7"/>
      <c r="K54" s="3"/>
      <c r="L54" s="3"/>
    </row>
    <row r="55" spans="8:12" ht="12.75">
      <c r="H55" s="3"/>
      <c r="I55" s="7"/>
      <c r="K55" s="3"/>
      <c r="L55" s="3"/>
    </row>
    <row r="56" spans="2:19" s="66" customFormat="1" ht="15.75">
      <c r="B56" s="68">
        <f>B11+0.01</f>
        <v>1.02</v>
      </c>
      <c r="C56" s="67"/>
      <c r="D56" s="68" t="s">
        <v>187</v>
      </c>
      <c r="J56" s="69"/>
      <c r="K56" s="69"/>
      <c r="L56" s="70"/>
      <c r="M56" s="70"/>
      <c r="O56" s="71"/>
      <c r="P56" s="71"/>
      <c r="Q56" s="72"/>
      <c r="R56" s="71"/>
      <c r="S56" s="71"/>
    </row>
    <row r="57" spans="1:19" s="73" customFormat="1" ht="12.75">
      <c r="A57" s="66"/>
      <c r="B57" s="77"/>
      <c r="D57" s="220"/>
      <c r="J57" s="75"/>
      <c r="K57" s="75"/>
      <c r="L57" s="76"/>
      <c r="M57" s="76"/>
      <c r="O57" s="77"/>
      <c r="P57" s="77"/>
      <c r="Q57" s="78"/>
      <c r="R57" s="77"/>
      <c r="S57" s="77"/>
    </row>
    <row r="58" spans="1:19" s="73" customFormat="1" ht="12.75">
      <c r="A58" s="66"/>
      <c r="B58" s="77"/>
      <c r="D58" s="508" t="s">
        <v>189</v>
      </c>
      <c r="E58" s="79"/>
      <c r="F58" s="81"/>
      <c r="G58" s="82"/>
      <c r="H58" s="82"/>
      <c r="I58" s="82"/>
      <c r="J58" s="75"/>
      <c r="K58" s="75"/>
      <c r="L58" s="76"/>
      <c r="M58" s="76"/>
      <c r="O58" s="77"/>
      <c r="P58" s="77"/>
      <c r="Q58" s="78"/>
      <c r="R58" s="77"/>
      <c r="S58" s="77"/>
    </row>
    <row r="59" spans="1:18" s="73" customFormat="1" ht="12.75" customHeight="1">
      <c r="A59" s="66"/>
      <c r="B59" s="77"/>
      <c r="D59" s="1"/>
      <c r="E59" s="1"/>
      <c r="F59" s="75"/>
      <c r="G59" s="75"/>
      <c r="H59" s="75"/>
      <c r="I59" s="75"/>
      <c r="J59" s="75"/>
      <c r="K59" s="75"/>
      <c r="L59" s="76"/>
      <c r="N59" s="77"/>
      <c r="O59" s="77"/>
      <c r="P59" s="78"/>
      <c r="Q59" s="77"/>
      <c r="R59" s="77"/>
    </row>
    <row r="60" spans="1:18" s="73" customFormat="1" ht="12.75">
      <c r="A60" s="66"/>
      <c r="B60" s="77"/>
      <c r="D60" s="295" t="s">
        <v>634</v>
      </c>
      <c r="E60" s="297" t="str">
        <f>E16</f>
        <v>District</v>
      </c>
      <c r="F60" s="92" t="s">
        <v>652</v>
      </c>
      <c r="G60" s="293">
        <f>'C. Masterfiles'!D101</f>
        <v>2008</v>
      </c>
      <c r="H60" s="293">
        <f>'C. Masterfiles'!D102</f>
        <v>2009</v>
      </c>
      <c r="I60" s="293">
        <f>'C. Masterfiles'!D103</f>
        <v>2010</v>
      </c>
      <c r="J60" s="293">
        <f>'C. Masterfiles'!D104</f>
        <v>2011</v>
      </c>
      <c r="K60" s="293">
        <f>'C. Masterfiles'!D105</f>
        <v>2012</v>
      </c>
      <c r="L60" s="76"/>
      <c r="N60" s="77"/>
      <c r="O60" s="77"/>
      <c r="P60" s="78"/>
      <c r="Q60" s="77"/>
      <c r="R60" s="77"/>
    </row>
    <row r="61" spans="1:18" s="73" customFormat="1" ht="12.75">
      <c r="A61" s="66"/>
      <c r="B61" s="77"/>
      <c r="D61" s="42" t="str">
        <f aca="true" t="shared" si="0" ref="D61:E80">D17</f>
        <v>D01</v>
      </c>
      <c r="E61" s="42" t="str">
        <f t="shared" si="0"/>
        <v>Chişinǎu</v>
      </c>
      <c r="F61" s="564" t="s">
        <v>632</v>
      </c>
      <c r="G61" s="294">
        <v>272340</v>
      </c>
      <c r="H61" s="294">
        <v>276240</v>
      </c>
      <c r="I61" s="294">
        <v>282532</v>
      </c>
      <c r="J61" s="294">
        <v>288967.3147408051</v>
      </c>
      <c r="K61" s="294">
        <v>295549.20854455954</v>
      </c>
      <c r="L61" s="76"/>
      <c r="N61" s="77"/>
      <c r="O61" s="77"/>
      <c r="P61" s="78"/>
      <c r="Q61" s="77"/>
      <c r="R61" s="77"/>
    </row>
    <row r="62" spans="1:18" s="73" customFormat="1" ht="12.75">
      <c r="A62" s="66"/>
      <c r="B62" s="77"/>
      <c r="D62" s="42" t="str">
        <f t="shared" si="0"/>
        <v>D02</v>
      </c>
      <c r="E62" s="42" t="str">
        <f t="shared" si="0"/>
        <v>Bǎlţi</v>
      </c>
      <c r="F62" s="564" t="s">
        <v>632</v>
      </c>
      <c r="G62" s="294">
        <v>43543</v>
      </c>
      <c r="H62" s="294">
        <v>44272</v>
      </c>
      <c r="I62" s="294">
        <v>44931</v>
      </c>
      <c r="J62" s="294">
        <v>45599.809382905674</v>
      </c>
      <c r="K62" s="294">
        <v>46278.57416388089</v>
      </c>
      <c r="L62" s="76"/>
      <c r="N62" s="77"/>
      <c r="O62" s="77"/>
      <c r="P62" s="78"/>
      <c r="Q62" s="77"/>
      <c r="R62" s="77"/>
    </row>
    <row r="63" spans="1:18" s="73" customFormat="1" ht="12.75">
      <c r="A63" s="66"/>
      <c r="B63" s="77"/>
      <c r="D63" s="42" t="str">
        <f t="shared" si="0"/>
        <v>D03</v>
      </c>
      <c r="E63" s="42" t="str">
        <f t="shared" si="0"/>
        <v>Anenii Noi</v>
      </c>
      <c r="F63" s="564" t="s">
        <v>632</v>
      </c>
      <c r="G63" s="294">
        <v>19630</v>
      </c>
      <c r="H63" s="294">
        <v>20795</v>
      </c>
      <c r="I63" s="294">
        <v>20720</v>
      </c>
      <c r="J63" s="294">
        <v>20645.270497715795</v>
      </c>
      <c r="K63" s="294">
        <v>20570.810517560534</v>
      </c>
      <c r="L63" s="76"/>
      <c r="N63" s="77"/>
      <c r="O63" s="77"/>
      <c r="P63" s="78"/>
      <c r="Q63" s="77"/>
      <c r="R63" s="77"/>
    </row>
    <row r="64" spans="1:18" s="73" customFormat="1" ht="12.75">
      <c r="A64" s="66"/>
      <c r="B64" s="77"/>
      <c r="D64" s="42" t="str">
        <f t="shared" si="0"/>
        <v>D04</v>
      </c>
      <c r="E64" s="42" t="str">
        <f t="shared" si="0"/>
        <v>Basarabeasca</v>
      </c>
      <c r="F64" s="564" t="s">
        <v>632</v>
      </c>
      <c r="G64" s="294">
        <v>7176</v>
      </c>
      <c r="H64" s="294">
        <v>7428</v>
      </c>
      <c r="I64" s="294">
        <v>7567</v>
      </c>
      <c r="J64" s="294">
        <v>7708.6011039310715</v>
      </c>
      <c r="K64" s="294">
        <v>7852.8519861936475</v>
      </c>
      <c r="L64" s="76"/>
      <c r="N64" s="77"/>
      <c r="O64" s="77"/>
      <c r="P64" s="78"/>
      <c r="Q64" s="77"/>
      <c r="R64" s="77"/>
    </row>
    <row r="65" spans="1:18" s="73" customFormat="1" ht="12.75">
      <c r="A65" s="66"/>
      <c r="B65" s="77"/>
      <c r="D65" s="42" t="str">
        <f t="shared" si="0"/>
        <v>D05</v>
      </c>
      <c r="E65" s="42" t="str">
        <f t="shared" si="0"/>
        <v>Briceni</v>
      </c>
      <c r="F65" s="564" t="s">
        <v>632</v>
      </c>
      <c r="G65" s="294">
        <v>22062</v>
      </c>
      <c r="H65" s="294">
        <v>22883</v>
      </c>
      <c r="I65" s="294">
        <v>23747</v>
      </c>
      <c r="J65" s="294">
        <v>24643.622296027617</v>
      </c>
      <c r="K65" s="294">
        <v>25574.09861747882</v>
      </c>
      <c r="L65" s="76"/>
      <c r="N65" s="77"/>
      <c r="O65" s="77"/>
      <c r="P65" s="78"/>
      <c r="Q65" s="77"/>
      <c r="R65" s="77"/>
    </row>
    <row r="66" spans="1:18" s="73" customFormat="1" ht="12.75">
      <c r="A66" s="66"/>
      <c r="B66" s="77"/>
      <c r="D66" s="42" t="str">
        <f t="shared" si="0"/>
        <v>D06</v>
      </c>
      <c r="E66" s="42" t="str">
        <f t="shared" si="0"/>
        <v>Cahul</v>
      </c>
      <c r="F66" s="564" t="s">
        <v>632</v>
      </c>
      <c r="G66" s="294">
        <v>30223</v>
      </c>
      <c r="H66" s="294">
        <v>30819</v>
      </c>
      <c r="I66" s="294">
        <v>31673</v>
      </c>
      <c r="J66" s="294">
        <v>32550.664492683085</v>
      </c>
      <c r="K66" s="294">
        <v>33452.64922537238</v>
      </c>
      <c r="L66" s="76"/>
      <c r="N66" s="77"/>
      <c r="O66" s="77"/>
      <c r="P66" s="78"/>
      <c r="Q66" s="77"/>
      <c r="R66" s="77"/>
    </row>
    <row r="67" spans="1:18" s="73" customFormat="1" ht="12.75">
      <c r="A67" s="66"/>
      <c r="B67" s="77"/>
      <c r="D67" s="42" t="str">
        <f t="shared" si="0"/>
        <v>D07</v>
      </c>
      <c r="E67" s="42" t="str">
        <f t="shared" si="0"/>
        <v>Cantemir</v>
      </c>
      <c r="F67" s="564" t="s">
        <v>632</v>
      </c>
      <c r="G67" s="294">
        <v>13227</v>
      </c>
      <c r="H67" s="294">
        <v>13930</v>
      </c>
      <c r="I67" s="294">
        <v>13730</v>
      </c>
      <c r="J67" s="294">
        <v>13532.871500358937</v>
      </c>
      <c r="K67" s="294">
        <v>13338.573273505253</v>
      </c>
      <c r="L67" s="76"/>
      <c r="N67" s="77"/>
      <c r="O67" s="77"/>
      <c r="P67" s="78"/>
      <c r="Q67" s="77"/>
      <c r="R67" s="77"/>
    </row>
    <row r="68" spans="1:18" s="73" customFormat="1" ht="12.75">
      <c r="A68" s="66"/>
      <c r="B68" s="77"/>
      <c r="D68" s="42" t="str">
        <f t="shared" si="0"/>
        <v>D08</v>
      </c>
      <c r="E68" s="42" t="str">
        <f t="shared" si="0"/>
        <v>Cǎlǎraşi</v>
      </c>
      <c r="F68" s="564" t="s">
        <v>632</v>
      </c>
      <c r="G68" s="294">
        <v>18997</v>
      </c>
      <c r="H68" s="294">
        <v>19223</v>
      </c>
      <c r="I68" s="294">
        <v>19654</v>
      </c>
      <c r="J68" s="294">
        <v>20094.663476044323</v>
      </c>
      <c r="K68" s="294">
        <v>20545.207093490877</v>
      </c>
      <c r="L68" s="76"/>
      <c r="N68" s="77"/>
      <c r="O68" s="77"/>
      <c r="P68" s="78"/>
      <c r="Q68" s="77"/>
      <c r="R68" s="77"/>
    </row>
    <row r="69" spans="1:18" s="73" customFormat="1" ht="12.75">
      <c r="A69" s="66"/>
      <c r="B69" s="77"/>
      <c r="D69" s="42" t="str">
        <f t="shared" si="0"/>
        <v>D09</v>
      </c>
      <c r="E69" s="42" t="str">
        <f t="shared" si="0"/>
        <v>Cǎuşeni</v>
      </c>
      <c r="F69" s="564" t="s">
        <v>632</v>
      </c>
      <c r="G69" s="294">
        <v>22029</v>
      </c>
      <c r="H69" s="294">
        <v>23336</v>
      </c>
      <c r="I69" s="294">
        <v>24143</v>
      </c>
      <c r="J69" s="294">
        <v>24977.907482002058</v>
      </c>
      <c r="K69" s="294">
        <v>25841.68753590914</v>
      </c>
      <c r="L69" s="76"/>
      <c r="N69" s="77"/>
      <c r="O69" s="77"/>
      <c r="P69" s="78"/>
      <c r="Q69" s="77"/>
      <c r="R69" s="77"/>
    </row>
    <row r="70" spans="1:18" s="73" customFormat="1" ht="12.75">
      <c r="A70" s="66"/>
      <c r="B70" s="77"/>
      <c r="D70" s="42" t="str">
        <f t="shared" si="0"/>
        <v>D10</v>
      </c>
      <c r="E70" s="42" t="str">
        <f t="shared" si="0"/>
        <v>Cimişlia</v>
      </c>
      <c r="F70" s="564" t="s">
        <v>632</v>
      </c>
      <c r="G70" s="294">
        <v>14390</v>
      </c>
      <c r="H70" s="294">
        <v>15488</v>
      </c>
      <c r="I70" s="294">
        <v>15874</v>
      </c>
      <c r="J70" s="294">
        <v>16269.620092975207</v>
      </c>
      <c r="K70" s="294">
        <v>16675.100035891555</v>
      </c>
      <c r="L70" s="76"/>
      <c r="N70" s="77"/>
      <c r="O70" s="77"/>
      <c r="P70" s="78"/>
      <c r="Q70" s="77"/>
      <c r="R70" s="77"/>
    </row>
    <row r="71" spans="1:18" s="73" customFormat="1" ht="12.75">
      <c r="A71" s="66"/>
      <c r="B71" s="77"/>
      <c r="D71" s="42" t="str">
        <f t="shared" si="0"/>
        <v>D11</v>
      </c>
      <c r="E71" s="42" t="str">
        <f t="shared" si="0"/>
        <v>Criuleni</v>
      </c>
      <c r="F71" s="564" t="s">
        <v>632</v>
      </c>
      <c r="G71" s="294">
        <v>16813</v>
      </c>
      <c r="H71" s="294">
        <v>18338</v>
      </c>
      <c r="I71" s="294">
        <v>18694</v>
      </c>
      <c r="J71" s="294">
        <v>19056.911113534738</v>
      </c>
      <c r="K71" s="294">
        <v>19426.86750771177</v>
      </c>
      <c r="L71" s="76"/>
      <c r="N71" s="77"/>
      <c r="O71" s="77"/>
      <c r="P71" s="78"/>
      <c r="Q71" s="77"/>
      <c r="R71" s="77"/>
    </row>
    <row r="72" spans="1:18" s="73" customFormat="1" ht="12.75">
      <c r="A72" s="66"/>
      <c r="B72" s="77"/>
      <c r="D72" s="42" t="str">
        <f t="shared" si="0"/>
        <v>D12</v>
      </c>
      <c r="E72" s="42" t="str">
        <f t="shared" si="0"/>
        <v>Donduşeni</v>
      </c>
      <c r="F72" s="564" t="s">
        <v>632</v>
      </c>
      <c r="G72" s="294">
        <v>11842</v>
      </c>
      <c r="H72" s="294">
        <v>12812</v>
      </c>
      <c r="I72" s="294">
        <v>13031</v>
      </c>
      <c r="J72" s="294">
        <v>13253.743443646581</v>
      </c>
      <c r="K72" s="294">
        <v>13480.29431893214</v>
      </c>
      <c r="L72" s="76"/>
      <c r="N72" s="77"/>
      <c r="O72" s="77"/>
      <c r="P72" s="78"/>
      <c r="Q72" s="77"/>
      <c r="R72" s="77"/>
    </row>
    <row r="73" spans="1:18" s="73" customFormat="1" ht="12.75">
      <c r="A73" s="66"/>
      <c r="B73" s="77"/>
      <c r="D73" s="42" t="str">
        <f t="shared" si="0"/>
        <v>D13</v>
      </c>
      <c r="E73" s="42" t="str">
        <f t="shared" si="0"/>
        <v>Drochia</v>
      </c>
      <c r="F73" s="564" t="s">
        <v>632</v>
      </c>
      <c r="G73" s="294">
        <v>23684</v>
      </c>
      <c r="H73" s="294">
        <v>25376</v>
      </c>
      <c r="I73" s="294">
        <v>25112</v>
      </c>
      <c r="J73" s="294">
        <v>24850.74653215637</v>
      </c>
      <c r="K73" s="294">
        <v>24592.21102283696</v>
      </c>
      <c r="L73" s="76"/>
      <c r="N73" s="77"/>
      <c r="O73" s="77"/>
      <c r="P73" s="78"/>
      <c r="Q73" s="77"/>
      <c r="R73" s="77"/>
    </row>
    <row r="74" spans="1:18" s="73" customFormat="1" ht="12.75">
      <c r="A74" s="66"/>
      <c r="B74" s="77"/>
      <c r="D74" s="42" t="str">
        <f t="shared" si="0"/>
        <v>D14</v>
      </c>
      <c r="E74" s="42" t="str">
        <f t="shared" si="0"/>
        <v>Dubusǎri</v>
      </c>
      <c r="F74" s="564" t="s">
        <v>632</v>
      </c>
      <c r="G74" s="294">
        <v>7205</v>
      </c>
      <c r="H74" s="294">
        <v>7359</v>
      </c>
      <c r="I74" s="294">
        <v>7899</v>
      </c>
      <c r="J74" s="294">
        <v>8478.624949041989</v>
      </c>
      <c r="K74" s="294">
        <v>9100.782507471487</v>
      </c>
      <c r="L74" s="76"/>
      <c r="N74" s="77"/>
      <c r="O74" s="77"/>
      <c r="P74" s="78"/>
      <c r="Q74" s="77"/>
      <c r="R74" s="77"/>
    </row>
    <row r="75" spans="1:18" s="73" customFormat="1" ht="12.75">
      <c r="A75" s="66"/>
      <c r="B75" s="77"/>
      <c r="D75" s="42" t="str">
        <f t="shared" si="0"/>
        <v>D15</v>
      </c>
      <c r="E75" s="42" t="str">
        <f t="shared" si="0"/>
        <v>Edineţ</v>
      </c>
      <c r="F75" s="564" t="s">
        <v>632</v>
      </c>
      <c r="G75" s="294">
        <v>22139</v>
      </c>
      <c r="H75" s="294">
        <v>22374</v>
      </c>
      <c r="I75" s="294">
        <v>23025</v>
      </c>
      <c r="J75" s="294">
        <v>23694.94167337088</v>
      </c>
      <c r="K75" s="294">
        <v>24384.376152201865</v>
      </c>
      <c r="L75" s="76"/>
      <c r="N75" s="77"/>
      <c r="O75" s="77"/>
      <c r="P75" s="78"/>
      <c r="Q75" s="77"/>
      <c r="R75" s="77"/>
    </row>
    <row r="76" spans="1:18" s="73" customFormat="1" ht="12.75">
      <c r="A76" s="66"/>
      <c r="B76" s="77"/>
      <c r="D76" s="42" t="str">
        <f t="shared" si="0"/>
        <v>D16</v>
      </c>
      <c r="E76" s="42" t="str">
        <f t="shared" si="0"/>
        <v>Fǎleşti</v>
      </c>
      <c r="F76" s="564" t="s">
        <v>632</v>
      </c>
      <c r="G76" s="294">
        <v>21731</v>
      </c>
      <c r="H76" s="294">
        <v>22895</v>
      </c>
      <c r="I76" s="294">
        <v>23482</v>
      </c>
      <c r="J76" s="294">
        <v>24084.049967241757</v>
      </c>
      <c r="K76" s="294">
        <v>24701.535764611093</v>
      </c>
      <c r="L76" s="76"/>
      <c r="N76" s="77"/>
      <c r="O76" s="77"/>
      <c r="P76" s="78"/>
      <c r="Q76" s="77"/>
      <c r="R76" s="77"/>
    </row>
    <row r="77" spans="1:18" s="73" customFormat="1" ht="12.75">
      <c r="A77" s="66"/>
      <c r="B77" s="77"/>
      <c r="D77" s="42" t="str">
        <f t="shared" si="0"/>
        <v>D17</v>
      </c>
      <c r="E77" s="42" t="str">
        <f t="shared" si="0"/>
        <v>Floreşti</v>
      </c>
      <c r="F77" s="564" t="s">
        <v>632</v>
      </c>
      <c r="G77" s="294">
        <v>21769</v>
      </c>
      <c r="H77" s="294">
        <v>21787</v>
      </c>
      <c r="I77" s="294">
        <v>22555</v>
      </c>
      <c r="J77" s="294">
        <v>23350.072290815624</v>
      </c>
      <c r="K77" s="294">
        <v>24173.171180949485</v>
      </c>
      <c r="L77" s="76"/>
      <c r="N77" s="77"/>
      <c r="O77" s="77"/>
      <c r="P77" s="78"/>
      <c r="Q77" s="77"/>
      <c r="R77" s="77"/>
    </row>
    <row r="78" spans="1:18" s="73" customFormat="1" ht="12.75">
      <c r="A78" s="66"/>
      <c r="B78" s="77"/>
      <c r="D78" s="42" t="str">
        <f t="shared" si="0"/>
        <v>D18</v>
      </c>
      <c r="E78" s="42" t="str">
        <f t="shared" si="0"/>
        <v>Glodeni</v>
      </c>
      <c r="F78" s="564" t="s">
        <v>632</v>
      </c>
      <c r="G78" s="294">
        <v>16760</v>
      </c>
      <c r="H78" s="294">
        <v>17006</v>
      </c>
      <c r="I78" s="294">
        <v>17220</v>
      </c>
      <c r="J78" s="294">
        <v>17436.692931906386</v>
      </c>
      <c r="K78" s="294">
        <v>17656.1126830194</v>
      </c>
      <c r="L78" s="76"/>
      <c r="N78" s="77"/>
      <c r="O78" s="77"/>
      <c r="P78" s="78"/>
      <c r="Q78" s="77"/>
      <c r="R78" s="77"/>
    </row>
    <row r="79" spans="1:18" s="73" customFormat="1" ht="12.75">
      <c r="A79" s="66"/>
      <c r="B79" s="77"/>
      <c r="D79" s="42" t="str">
        <f t="shared" si="0"/>
        <v>D19</v>
      </c>
      <c r="E79" s="42" t="str">
        <f t="shared" si="0"/>
        <v>Hinceşti</v>
      </c>
      <c r="F79" s="564" t="s">
        <v>632</v>
      </c>
      <c r="G79" s="294">
        <v>27636</v>
      </c>
      <c r="H79" s="294">
        <v>28729</v>
      </c>
      <c r="I79" s="294">
        <v>29515</v>
      </c>
      <c r="J79" s="294">
        <v>30322.504263984127</v>
      </c>
      <c r="K79" s="294">
        <v>31152.10112957261</v>
      </c>
      <c r="L79" s="76"/>
      <c r="N79" s="77"/>
      <c r="O79" s="77"/>
      <c r="P79" s="78"/>
      <c r="Q79" s="77"/>
      <c r="R79" s="77"/>
    </row>
    <row r="80" spans="1:18" s="73" customFormat="1" ht="12.75">
      <c r="A80" s="66"/>
      <c r="B80" s="77"/>
      <c r="D80" s="42" t="str">
        <f t="shared" si="0"/>
        <v>D20</v>
      </c>
      <c r="E80" s="42" t="str">
        <f t="shared" si="0"/>
        <v>Ialoveni</v>
      </c>
      <c r="F80" s="564" t="s">
        <v>632</v>
      </c>
      <c r="G80" s="294">
        <v>26148</v>
      </c>
      <c r="H80" s="294">
        <v>25984</v>
      </c>
      <c r="I80" s="294">
        <v>26637</v>
      </c>
      <c r="J80" s="294">
        <v>27306.410444889163</v>
      </c>
      <c r="K80" s="294">
        <v>27992.64374309239</v>
      </c>
      <c r="L80" s="76"/>
      <c r="N80" s="77"/>
      <c r="O80" s="77"/>
      <c r="P80" s="78"/>
      <c r="Q80" s="77"/>
      <c r="R80" s="77"/>
    </row>
    <row r="81" spans="1:18" s="73" customFormat="1" ht="12.75">
      <c r="A81" s="66"/>
      <c r="B81" s="77"/>
      <c r="D81" s="42" t="str">
        <f aca="true" t="shared" si="1" ref="D81:E95">D37</f>
        <v>D21</v>
      </c>
      <c r="E81" s="42" t="str">
        <f t="shared" si="1"/>
        <v>Leova</v>
      </c>
      <c r="F81" s="564" t="s">
        <v>632</v>
      </c>
      <c r="G81" s="294">
        <v>11843</v>
      </c>
      <c r="H81" s="294">
        <v>13116</v>
      </c>
      <c r="I81" s="294">
        <v>13317</v>
      </c>
      <c r="J81" s="294">
        <v>13521.080283623056</v>
      </c>
      <c r="K81" s="294">
        <v>13728.288055581597</v>
      </c>
      <c r="L81" s="76"/>
      <c r="N81" s="77"/>
      <c r="O81" s="77"/>
      <c r="P81" s="78"/>
      <c r="Q81" s="77"/>
      <c r="R81" s="77"/>
    </row>
    <row r="82" spans="1:18" s="73" customFormat="1" ht="12.75">
      <c r="A82" s="66"/>
      <c r="B82" s="77"/>
      <c r="D82" s="42" t="str">
        <f t="shared" si="1"/>
        <v>D22</v>
      </c>
      <c r="E82" s="42" t="str">
        <f t="shared" si="1"/>
        <v>Nisporeni</v>
      </c>
      <c r="F82" s="564" t="s">
        <v>632</v>
      </c>
      <c r="G82" s="294">
        <v>16053</v>
      </c>
      <c r="H82" s="294">
        <v>15818</v>
      </c>
      <c r="I82" s="294">
        <v>16392</v>
      </c>
      <c r="J82" s="294">
        <v>16986.82918194462</v>
      </c>
      <c r="K82" s="294">
        <v>17603.243390468848</v>
      </c>
      <c r="L82" s="76"/>
      <c r="N82" s="77"/>
      <c r="O82" s="77"/>
      <c r="P82" s="78"/>
      <c r="Q82" s="77"/>
      <c r="R82" s="77"/>
    </row>
    <row r="83" spans="1:18" s="73" customFormat="1" ht="12.75">
      <c r="A83" s="66"/>
      <c r="B83" s="77"/>
      <c r="D83" s="42" t="str">
        <f t="shared" si="1"/>
        <v>D23</v>
      </c>
      <c r="E83" s="42" t="str">
        <f t="shared" si="1"/>
        <v>Ocniţa</v>
      </c>
      <c r="F83" s="564" t="s">
        <v>632</v>
      </c>
      <c r="G83" s="294">
        <v>13932</v>
      </c>
      <c r="H83" s="294">
        <v>14535</v>
      </c>
      <c r="I83" s="294">
        <v>14771</v>
      </c>
      <c r="J83" s="294">
        <v>15010.831854145166</v>
      </c>
      <c r="K83" s="294">
        <v>15254.557778987151</v>
      </c>
      <c r="L83" s="76"/>
      <c r="N83" s="77"/>
      <c r="O83" s="77"/>
      <c r="P83" s="78"/>
      <c r="Q83" s="77"/>
      <c r="R83" s="77"/>
    </row>
    <row r="84" spans="1:18" s="73" customFormat="1" ht="12.75">
      <c r="A84" s="66"/>
      <c r="B84" s="77"/>
      <c r="D84" s="42" t="str">
        <f t="shared" si="1"/>
        <v>D24</v>
      </c>
      <c r="E84" s="42" t="str">
        <f t="shared" si="1"/>
        <v>Orhei</v>
      </c>
      <c r="F84" s="564" t="s">
        <v>632</v>
      </c>
      <c r="G84" s="294">
        <v>29531</v>
      </c>
      <c r="H84" s="294">
        <v>30459</v>
      </c>
      <c r="I84" s="294">
        <v>31119</v>
      </c>
      <c r="J84" s="294">
        <v>31793.30119176598</v>
      </c>
      <c r="K84" s="294">
        <v>32482.213460276616</v>
      </c>
      <c r="L84" s="76"/>
      <c r="N84" s="77"/>
      <c r="O84" s="77"/>
      <c r="P84" s="78"/>
      <c r="Q84" s="77"/>
      <c r="R84" s="77"/>
    </row>
    <row r="85" spans="1:18" s="73" customFormat="1" ht="12.75">
      <c r="A85" s="66"/>
      <c r="B85" s="77"/>
      <c r="D85" s="42" t="str">
        <f t="shared" si="1"/>
        <v>D25</v>
      </c>
      <c r="E85" s="42" t="str">
        <f t="shared" si="1"/>
        <v>Rezina</v>
      </c>
      <c r="F85" s="564" t="s">
        <v>632</v>
      </c>
      <c r="G85" s="294">
        <v>12182</v>
      </c>
      <c r="H85" s="294">
        <v>12821</v>
      </c>
      <c r="I85" s="294">
        <v>13164</v>
      </c>
      <c r="J85" s="294">
        <v>13516.176273301615</v>
      </c>
      <c r="K85" s="294">
        <v>13877.774312592033</v>
      </c>
      <c r="L85" s="76"/>
      <c r="N85" s="77"/>
      <c r="O85" s="77"/>
      <c r="P85" s="78"/>
      <c r="Q85" s="77"/>
      <c r="R85" s="77"/>
    </row>
    <row r="86" spans="1:18" s="73" customFormat="1" ht="12.75">
      <c r="A86" s="66"/>
      <c r="B86" s="77"/>
      <c r="D86" s="42" t="str">
        <f t="shared" si="1"/>
        <v>D26</v>
      </c>
      <c r="E86" s="42" t="str">
        <f t="shared" si="1"/>
        <v>Rîşcani</v>
      </c>
      <c r="F86" s="564" t="s">
        <v>632</v>
      </c>
      <c r="G86" s="294">
        <v>18393</v>
      </c>
      <c r="H86" s="294">
        <v>18969</v>
      </c>
      <c r="I86" s="294">
        <v>19330</v>
      </c>
      <c r="J86" s="294">
        <v>19697.870209288838</v>
      </c>
      <c r="K86" s="294">
        <v>20072.74137516755</v>
      </c>
      <c r="L86" s="76"/>
      <c r="N86" s="77"/>
      <c r="O86" s="77"/>
      <c r="P86" s="78"/>
      <c r="Q86" s="77"/>
      <c r="R86" s="77"/>
    </row>
    <row r="87" spans="1:18" s="73" customFormat="1" ht="12.75">
      <c r="A87" s="66"/>
      <c r="B87" s="77"/>
      <c r="D87" s="42" t="str">
        <f t="shared" si="1"/>
        <v>D27</v>
      </c>
      <c r="E87" s="42" t="str">
        <f t="shared" si="1"/>
        <v>Sîngerei</v>
      </c>
      <c r="F87" s="564" t="s">
        <v>632</v>
      </c>
      <c r="G87" s="294">
        <v>20896</v>
      </c>
      <c r="H87" s="294">
        <v>22216</v>
      </c>
      <c r="I87" s="294">
        <v>22907</v>
      </c>
      <c r="J87" s="294">
        <v>23619.492662945624</v>
      </c>
      <c r="K87" s="294">
        <v>24354.146490371597</v>
      </c>
      <c r="L87" s="76"/>
      <c r="N87" s="77"/>
      <c r="O87" s="77"/>
      <c r="P87" s="78"/>
      <c r="Q87" s="77"/>
      <c r="R87" s="77"/>
    </row>
    <row r="88" spans="1:18" s="73" customFormat="1" ht="12.75">
      <c r="A88" s="66"/>
      <c r="B88" s="77"/>
      <c r="D88" s="42" t="str">
        <f t="shared" si="1"/>
        <v>D28</v>
      </c>
      <c r="E88" s="42" t="str">
        <f t="shared" si="1"/>
        <v>Soroca</v>
      </c>
      <c r="F88" s="564" t="s">
        <v>632</v>
      </c>
      <c r="G88" s="294">
        <v>27247</v>
      </c>
      <c r="H88" s="294">
        <v>27864</v>
      </c>
      <c r="I88" s="294">
        <v>27658</v>
      </c>
      <c r="J88" s="294">
        <v>27453.52296870514</v>
      </c>
      <c r="K88" s="294">
        <v>27250.557646728637</v>
      </c>
      <c r="L88" s="76"/>
      <c r="N88" s="77"/>
      <c r="O88" s="77"/>
      <c r="P88" s="78"/>
      <c r="Q88" s="77"/>
      <c r="R88" s="77"/>
    </row>
    <row r="89" spans="1:18" s="73" customFormat="1" ht="12.75">
      <c r="A89" s="66"/>
      <c r="B89" s="77"/>
      <c r="D89" s="42" t="str">
        <f t="shared" si="1"/>
        <v>D29</v>
      </c>
      <c r="E89" s="42" t="str">
        <f t="shared" si="1"/>
        <v>Strǎşeni</v>
      </c>
      <c r="F89" s="564" t="s">
        <v>632</v>
      </c>
      <c r="G89" s="294">
        <v>21667</v>
      </c>
      <c r="H89" s="294">
        <v>23050</v>
      </c>
      <c r="I89" s="294">
        <v>23433</v>
      </c>
      <c r="J89" s="294">
        <v>23822.363947939262</v>
      </c>
      <c r="K89" s="294">
        <v>24218.19758750806</v>
      </c>
      <c r="L89" s="76"/>
      <c r="N89" s="77"/>
      <c r="O89" s="77"/>
      <c r="P89" s="78"/>
      <c r="Q89" s="77"/>
      <c r="R89" s="77"/>
    </row>
    <row r="90" spans="1:18" s="73" customFormat="1" ht="12.75">
      <c r="A90" s="66"/>
      <c r="B90" s="77"/>
      <c r="D90" s="42" t="str">
        <f t="shared" si="1"/>
        <v>D30</v>
      </c>
      <c r="E90" s="42" t="str">
        <f t="shared" si="1"/>
        <v>Şoldăneşti</v>
      </c>
      <c r="F90" s="564" t="s">
        <v>632</v>
      </c>
      <c r="G90" s="294">
        <v>10168</v>
      </c>
      <c r="H90" s="294">
        <v>10540</v>
      </c>
      <c r="I90" s="294">
        <v>10795</v>
      </c>
      <c r="J90" s="294">
        <v>11056.16935483871</v>
      </c>
      <c r="K90" s="294">
        <v>11323.657323100939</v>
      </c>
      <c r="L90" s="76"/>
      <c r="N90" s="77"/>
      <c r="O90" s="77"/>
      <c r="P90" s="78"/>
      <c r="Q90" s="77"/>
      <c r="R90" s="77"/>
    </row>
    <row r="91" spans="1:18" s="73" customFormat="1" ht="12.75">
      <c r="A91" s="66"/>
      <c r="B91" s="77"/>
      <c r="D91" s="42" t="str">
        <f t="shared" si="1"/>
        <v>D31</v>
      </c>
      <c r="E91" s="42" t="str">
        <f t="shared" si="1"/>
        <v>Ştefan Vodă</v>
      </c>
      <c r="F91" s="564" t="s">
        <v>632</v>
      </c>
      <c r="G91" s="294">
        <v>17779</v>
      </c>
      <c r="H91" s="294">
        <v>18113</v>
      </c>
      <c r="I91" s="294">
        <v>18576</v>
      </c>
      <c r="J91" s="294">
        <v>19050.83509081875</v>
      </c>
      <c r="K91" s="294">
        <v>19537.80779810352</v>
      </c>
      <c r="L91" s="76"/>
      <c r="N91" s="77"/>
      <c r="O91" s="77"/>
      <c r="P91" s="78"/>
      <c r="Q91" s="77"/>
      <c r="R91" s="77"/>
    </row>
    <row r="92" spans="1:18" s="73" customFormat="1" ht="12.75">
      <c r="A92" s="66"/>
      <c r="B92" s="77"/>
      <c r="D92" s="42" t="str">
        <f t="shared" si="1"/>
        <v>D32</v>
      </c>
      <c r="E92" s="42" t="str">
        <f t="shared" si="1"/>
        <v>Taraclia</v>
      </c>
      <c r="F92" s="564" t="s">
        <v>632</v>
      </c>
      <c r="G92" s="294">
        <v>11447</v>
      </c>
      <c r="H92" s="294">
        <v>11234</v>
      </c>
      <c r="I92" s="294">
        <v>11011</v>
      </c>
      <c r="J92" s="294">
        <v>10792.426651237316</v>
      </c>
      <c r="K92" s="294">
        <v>10578.19208267528</v>
      </c>
      <c r="L92" s="76"/>
      <c r="N92" s="77"/>
      <c r="O92" s="77"/>
      <c r="P92" s="78"/>
      <c r="Q92" s="77"/>
      <c r="R92" s="77"/>
    </row>
    <row r="93" spans="1:18" s="73" customFormat="1" ht="12.75">
      <c r="A93" s="66"/>
      <c r="B93" s="77"/>
      <c r="D93" s="42" t="str">
        <f t="shared" si="1"/>
        <v>D33</v>
      </c>
      <c r="E93" s="42" t="str">
        <f t="shared" si="1"/>
        <v>Teleneşti</v>
      </c>
      <c r="F93" s="564" t="s">
        <v>632</v>
      </c>
      <c r="G93" s="294">
        <v>16901</v>
      </c>
      <c r="H93" s="294">
        <v>17368</v>
      </c>
      <c r="I93" s="294">
        <v>17824</v>
      </c>
      <c r="J93" s="294">
        <v>18291.972362966375</v>
      </c>
      <c r="K93" s="294">
        <v>18772.231425467104</v>
      </c>
      <c r="L93" s="76"/>
      <c r="N93" s="77"/>
      <c r="O93" s="77"/>
      <c r="P93" s="78"/>
      <c r="Q93" s="77"/>
      <c r="R93" s="77"/>
    </row>
    <row r="94" spans="1:18" s="73" customFormat="1" ht="12.75">
      <c r="A94" s="66"/>
      <c r="B94" s="77"/>
      <c r="D94" s="42" t="str">
        <f t="shared" si="1"/>
        <v>D34</v>
      </c>
      <c r="E94" s="42" t="str">
        <f t="shared" si="1"/>
        <v>Ungheni</v>
      </c>
      <c r="F94" s="564" t="s">
        <v>632</v>
      </c>
      <c r="G94" s="294">
        <v>26307</v>
      </c>
      <c r="H94" s="294">
        <v>27763</v>
      </c>
      <c r="I94" s="294">
        <v>28872</v>
      </c>
      <c r="J94" s="294">
        <v>30025.299283218672</v>
      </c>
      <c r="K94" s="294">
        <v>31224.667395637698</v>
      </c>
      <c r="L94" s="76"/>
      <c r="N94" s="77"/>
      <c r="O94" s="77"/>
      <c r="P94" s="78"/>
      <c r="Q94" s="77"/>
      <c r="R94" s="77"/>
    </row>
    <row r="95" spans="1:18" s="73" customFormat="1" ht="12.75">
      <c r="A95" s="66"/>
      <c r="B95" s="77"/>
      <c r="D95" s="42" t="str">
        <f t="shared" si="1"/>
        <v>D35</v>
      </c>
      <c r="E95" s="42" t="str">
        <f t="shared" si="1"/>
        <v>Găgăuzia</v>
      </c>
      <c r="F95" s="564" t="s">
        <v>632</v>
      </c>
      <c r="G95" s="294">
        <v>39406</v>
      </c>
      <c r="H95" s="294">
        <v>39852</v>
      </c>
      <c r="I95" s="294">
        <v>41638</v>
      </c>
      <c r="J95" s="294">
        <v>43504.041051892</v>
      </c>
      <c r="K95" s="294">
        <v>45453.710260932436</v>
      </c>
      <c r="L95" s="76"/>
      <c r="N95" s="77"/>
      <c r="O95" s="77"/>
      <c r="P95" s="78"/>
      <c r="Q95" s="77"/>
      <c r="R95" s="77"/>
    </row>
    <row r="96" spans="1:18" s="73" customFormat="1" ht="12.75">
      <c r="A96" s="66"/>
      <c r="B96" s="77"/>
      <c r="D96" s="490" t="s">
        <v>635</v>
      </c>
      <c r="E96" s="490"/>
      <c r="F96" s="491"/>
      <c r="G96" s="477">
        <f>SUM(G61:G95)</f>
        <v>953096</v>
      </c>
      <c r="H96" s="477">
        <f>SUM(H61:H95)</f>
        <v>980792</v>
      </c>
      <c r="I96" s="477">
        <f>SUM(I61:I95)</f>
        <v>1002548</v>
      </c>
      <c r="J96" s="477">
        <f>SUM(J61:J95)</f>
        <v>1024967.2550446674</v>
      </c>
      <c r="K96" s="477">
        <f>SUM(K61:K95)</f>
        <v>1048070.8433878407</v>
      </c>
      <c r="L96" s="76"/>
      <c r="N96" s="77"/>
      <c r="O96" s="77"/>
      <c r="P96" s="78"/>
      <c r="Q96" s="77"/>
      <c r="R96" s="77"/>
    </row>
    <row r="97" spans="1:18" s="73" customFormat="1" ht="12.75">
      <c r="A97" s="66"/>
      <c r="B97" s="77"/>
      <c r="D97" s="123"/>
      <c r="E97" s="1"/>
      <c r="F97" s="1"/>
      <c r="G97" s="1"/>
      <c r="H97" s="76"/>
      <c r="I97" s="76"/>
      <c r="J97" s="76"/>
      <c r="K97" s="76"/>
      <c r="L97" s="76"/>
      <c r="N97" s="77"/>
      <c r="O97" s="77"/>
      <c r="P97" s="78"/>
      <c r="Q97" s="77"/>
      <c r="R97" s="77"/>
    </row>
    <row r="98" spans="1:18" s="73" customFormat="1" ht="12.75">
      <c r="A98" s="66"/>
      <c r="B98" s="77"/>
      <c r="D98" s="123"/>
      <c r="E98" s="1"/>
      <c r="F98" s="1"/>
      <c r="G98" s="1"/>
      <c r="H98" s="471"/>
      <c r="I98" s="472"/>
      <c r="J98" s="473"/>
      <c r="K98" s="473"/>
      <c r="L98" s="76"/>
      <c r="N98" s="77"/>
      <c r="O98" s="77"/>
      <c r="P98" s="78"/>
      <c r="Q98" s="77"/>
      <c r="R98" s="77"/>
    </row>
    <row r="99" spans="1:18" s="73" customFormat="1" ht="12.75">
      <c r="A99" s="66"/>
      <c r="B99" s="77"/>
      <c r="D99" s="508" t="s">
        <v>188</v>
      </c>
      <c r="E99" s="79"/>
      <c r="F99" s="81"/>
      <c r="G99" s="82"/>
      <c r="H99" s="82"/>
      <c r="I99" s="82"/>
      <c r="J99" s="75"/>
      <c r="K99" s="75"/>
      <c r="L99" s="76"/>
      <c r="N99" s="77"/>
      <c r="O99" s="77"/>
      <c r="P99" s="78"/>
      <c r="Q99" s="77"/>
      <c r="R99" s="77"/>
    </row>
    <row r="100" spans="1:18" s="73" customFormat="1" ht="12.75" customHeight="1">
      <c r="A100" s="66"/>
      <c r="B100" s="77"/>
      <c r="D100" s="1"/>
      <c r="E100" s="1"/>
      <c r="F100" s="75"/>
      <c r="G100" s="75"/>
      <c r="H100" s="75"/>
      <c r="I100" s="75"/>
      <c r="J100" s="75"/>
      <c r="K100" s="75"/>
      <c r="L100" s="76"/>
      <c r="N100" s="77"/>
      <c r="O100" s="77"/>
      <c r="P100" s="78"/>
      <c r="Q100" s="77"/>
      <c r="R100" s="77"/>
    </row>
    <row r="101" spans="1:18" s="73" customFormat="1" ht="12.75">
      <c r="A101" s="66"/>
      <c r="B101" s="77"/>
      <c r="D101" s="295" t="s">
        <v>634</v>
      </c>
      <c r="E101" s="297" t="str">
        <f aca="true" t="shared" si="2" ref="E101:E136">E60</f>
        <v>District</v>
      </c>
      <c r="F101" s="92" t="s">
        <v>652</v>
      </c>
      <c r="G101" s="293">
        <f>G60</f>
        <v>2008</v>
      </c>
      <c r="H101" s="293">
        <f>H60</f>
        <v>2009</v>
      </c>
      <c r="I101" s="293">
        <f>I60</f>
        <v>2010</v>
      </c>
      <c r="J101" s="293">
        <f>J60</f>
        <v>2011</v>
      </c>
      <c r="K101" s="293">
        <f>K60</f>
        <v>2012</v>
      </c>
      <c r="L101" s="76"/>
      <c r="N101" s="77"/>
      <c r="O101" s="77"/>
      <c r="P101" s="78"/>
      <c r="Q101" s="77"/>
      <c r="R101" s="77"/>
    </row>
    <row r="102" spans="1:18" s="73" customFormat="1" ht="12.75">
      <c r="A102" s="66"/>
      <c r="B102" s="77"/>
      <c r="D102" s="42" t="str">
        <f aca="true" t="shared" si="3" ref="D102:D136">D61</f>
        <v>D01</v>
      </c>
      <c r="E102" s="42" t="str">
        <f t="shared" si="2"/>
        <v>Chişinǎu</v>
      </c>
      <c r="F102" s="564" t="s">
        <v>632</v>
      </c>
      <c r="G102" s="294">
        <v>57097</v>
      </c>
      <c r="H102" s="294">
        <v>58166</v>
      </c>
      <c r="I102" s="294">
        <v>58066</v>
      </c>
      <c r="J102" s="294">
        <v>57966.171921741225</v>
      </c>
      <c r="K102" s="294">
        <v>57866.515469652826</v>
      </c>
      <c r="L102" s="76"/>
      <c r="N102" s="77"/>
      <c r="O102" s="77"/>
      <c r="P102" s="78"/>
      <c r="Q102" s="77"/>
      <c r="R102" s="77"/>
    </row>
    <row r="103" spans="1:18" s="73" customFormat="1" ht="12.75">
      <c r="A103" s="66"/>
      <c r="B103" s="77"/>
      <c r="D103" s="42" t="str">
        <f t="shared" si="3"/>
        <v>D02</v>
      </c>
      <c r="E103" s="42" t="str">
        <f t="shared" si="2"/>
        <v>Bǎlţi</v>
      </c>
      <c r="F103" s="564" t="s">
        <v>632</v>
      </c>
      <c r="G103" s="294">
        <v>5458</v>
      </c>
      <c r="H103" s="294">
        <v>5782</v>
      </c>
      <c r="I103" s="294">
        <v>5758</v>
      </c>
      <c r="J103" s="294">
        <v>5734.09961950882</v>
      </c>
      <c r="K103" s="294">
        <v>5710.298445024521</v>
      </c>
      <c r="L103" s="76"/>
      <c r="N103" s="77"/>
      <c r="O103" s="77"/>
      <c r="P103" s="78"/>
      <c r="Q103" s="77"/>
      <c r="R103" s="77"/>
    </row>
    <row r="104" spans="1:18" s="73" customFormat="1" ht="12.75">
      <c r="A104" s="66"/>
      <c r="B104" s="77"/>
      <c r="D104" s="42" t="str">
        <f t="shared" si="3"/>
        <v>D03</v>
      </c>
      <c r="E104" s="42" t="str">
        <f t="shared" si="2"/>
        <v>Anenii Noi</v>
      </c>
      <c r="F104" s="564" t="s">
        <v>632</v>
      </c>
      <c r="G104" s="294">
        <v>1267</v>
      </c>
      <c r="H104" s="294">
        <v>1317</v>
      </c>
      <c r="I104" s="294">
        <v>1318</v>
      </c>
      <c r="J104" s="294">
        <v>1319.0007593014427</v>
      </c>
      <c r="K104" s="294">
        <v>1320.0022784808668</v>
      </c>
      <c r="L104" s="76"/>
      <c r="N104" s="77"/>
      <c r="O104" s="77"/>
      <c r="P104" s="78"/>
      <c r="Q104" s="77"/>
      <c r="R104" s="77"/>
    </row>
    <row r="105" spans="1:18" s="73" customFormat="1" ht="12.75">
      <c r="A105" s="66"/>
      <c r="B105" s="77"/>
      <c r="D105" s="42" t="str">
        <f t="shared" si="3"/>
        <v>D04</v>
      </c>
      <c r="E105" s="42" t="str">
        <f t="shared" si="2"/>
        <v>Basarabeasca</v>
      </c>
      <c r="F105" s="564" t="s">
        <v>632</v>
      </c>
      <c r="G105" s="294">
        <v>591</v>
      </c>
      <c r="H105" s="294">
        <v>610</v>
      </c>
      <c r="I105" s="294">
        <v>490</v>
      </c>
      <c r="J105" s="294">
        <v>393.60655737704917</v>
      </c>
      <c r="K105" s="294">
        <v>316.1757592045149</v>
      </c>
      <c r="L105" s="76"/>
      <c r="N105" s="77"/>
      <c r="O105" s="77"/>
      <c r="P105" s="78"/>
      <c r="Q105" s="77"/>
      <c r="R105" s="77"/>
    </row>
    <row r="106" spans="1:18" s="73" customFormat="1" ht="12.75">
      <c r="A106" s="66"/>
      <c r="B106" s="77"/>
      <c r="D106" s="42" t="str">
        <f t="shared" si="3"/>
        <v>D05</v>
      </c>
      <c r="E106" s="42" t="str">
        <f t="shared" si="2"/>
        <v>Briceni</v>
      </c>
      <c r="F106" s="564" t="s">
        <v>632</v>
      </c>
      <c r="G106" s="294">
        <v>1164</v>
      </c>
      <c r="H106" s="294">
        <v>1245</v>
      </c>
      <c r="I106" s="294">
        <v>1345</v>
      </c>
      <c r="J106" s="294">
        <v>1453.0321285140562</v>
      </c>
      <c r="K106" s="294">
        <v>1569.741536426832</v>
      </c>
      <c r="L106" s="76"/>
      <c r="N106" s="77"/>
      <c r="O106" s="77"/>
      <c r="P106" s="78"/>
      <c r="Q106" s="77"/>
      <c r="R106" s="77"/>
    </row>
    <row r="107" spans="1:18" s="73" customFormat="1" ht="12.75">
      <c r="A107" s="66"/>
      <c r="B107" s="77"/>
      <c r="D107" s="42" t="str">
        <f t="shared" si="3"/>
        <v>D06</v>
      </c>
      <c r="E107" s="42" t="str">
        <f t="shared" si="2"/>
        <v>Cahul</v>
      </c>
      <c r="F107" s="564" t="s">
        <v>632</v>
      </c>
      <c r="G107" s="294">
        <v>2442</v>
      </c>
      <c r="H107" s="294">
        <v>2605</v>
      </c>
      <c r="I107" s="294">
        <v>2861</v>
      </c>
      <c r="J107" s="294">
        <v>3142.157773512476</v>
      </c>
      <c r="K107" s="294">
        <v>3450.9456391628382</v>
      </c>
      <c r="L107" s="76"/>
      <c r="N107" s="77"/>
      <c r="O107" s="77"/>
      <c r="P107" s="78"/>
      <c r="Q107" s="77"/>
      <c r="R107" s="77"/>
    </row>
    <row r="108" spans="1:18" s="73" customFormat="1" ht="12.75">
      <c r="A108" s="66"/>
      <c r="B108" s="77"/>
      <c r="D108" s="42" t="str">
        <f t="shared" si="3"/>
        <v>D07</v>
      </c>
      <c r="E108" s="42" t="str">
        <f t="shared" si="2"/>
        <v>Cantemir</v>
      </c>
      <c r="F108" s="564" t="s">
        <v>632</v>
      </c>
      <c r="G108" s="294">
        <v>782</v>
      </c>
      <c r="H108" s="294">
        <v>861</v>
      </c>
      <c r="I108" s="294">
        <v>847</v>
      </c>
      <c r="J108" s="294">
        <v>833.2276422764228</v>
      </c>
      <c r="K108" s="294">
        <v>819.6792253288387</v>
      </c>
      <c r="L108" s="76"/>
      <c r="N108" s="77"/>
      <c r="O108" s="77"/>
      <c r="P108" s="78"/>
      <c r="Q108" s="77"/>
      <c r="R108" s="77"/>
    </row>
    <row r="109" spans="1:18" s="73" customFormat="1" ht="12.75">
      <c r="A109" s="66"/>
      <c r="B109" s="77"/>
      <c r="D109" s="42" t="str">
        <f t="shared" si="3"/>
        <v>D08</v>
      </c>
      <c r="E109" s="42" t="str">
        <f t="shared" si="2"/>
        <v>Cǎlǎraşi</v>
      </c>
      <c r="F109" s="564" t="s">
        <v>632</v>
      </c>
      <c r="G109" s="294">
        <v>1155</v>
      </c>
      <c r="H109" s="294">
        <v>1197</v>
      </c>
      <c r="I109" s="294">
        <v>1205</v>
      </c>
      <c r="J109" s="294">
        <v>1213.0534670008353</v>
      </c>
      <c r="K109" s="294">
        <v>1221.1607583425284</v>
      </c>
      <c r="L109" s="76"/>
      <c r="N109" s="77"/>
      <c r="O109" s="77"/>
      <c r="P109" s="78"/>
      <c r="Q109" s="77"/>
      <c r="R109" s="77"/>
    </row>
    <row r="110" spans="1:18" s="73" customFormat="1" ht="12.75">
      <c r="A110" s="66"/>
      <c r="B110" s="77"/>
      <c r="D110" s="42" t="str">
        <f t="shared" si="3"/>
        <v>D09</v>
      </c>
      <c r="E110" s="42" t="str">
        <f t="shared" si="2"/>
        <v>Cǎuşeni</v>
      </c>
      <c r="F110" s="564" t="s">
        <v>632</v>
      </c>
      <c r="G110" s="294">
        <v>1230</v>
      </c>
      <c r="H110" s="294">
        <v>1314</v>
      </c>
      <c r="I110" s="294">
        <v>1324</v>
      </c>
      <c r="J110" s="294">
        <v>1334.076103500761</v>
      </c>
      <c r="K110" s="294">
        <v>1344.228889676566</v>
      </c>
      <c r="L110" s="76"/>
      <c r="N110" s="77"/>
      <c r="O110" s="77"/>
      <c r="P110" s="78"/>
      <c r="Q110" s="77"/>
      <c r="R110" s="77"/>
    </row>
    <row r="111" spans="1:18" s="73" customFormat="1" ht="12.75">
      <c r="A111" s="66"/>
      <c r="B111" s="77"/>
      <c r="D111" s="42" t="str">
        <f t="shared" si="3"/>
        <v>D10</v>
      </c>
      <c r="E111" s="42" t="str">
        <f t="shared" si="2"/>
        <v>Cimişlia</v>
      </c>
      <c r="F111" s="564" t="s">
        <v>632</v>
      </c>
      <c r="G111" s="294">
        <v>1020</v>
      </c>
      <c r="H111" s="294">
        <v>1087</v>
      </c>
      <c r="I111" s="294">
        <v>1081</v>
      </c>
      <c r="J111" s="294">
        <v>1075.033118675253</v>
      </c>
      <c r="K111" s="294">
        <v>1069.0991732179841</v>
      </c>
      <c r="L111" s="76"/>
      <c r="N111" s="77"/>
      <c r="O111" s="77"/>
      <c r="P111" s="78"/>
      <c r="Q111" s="77"/>
      <c r="R111" s="77"/>
    </row>
    <row r="112" spans="1:18" s="73" customFormat="1" ht="12.75">
      <c r="A112" s="66"/>
      <c r="B112" s="77"/>
      <c r="D112" s="42" t="str">
        <f t="shared" si="3"/>
        <v>D11</v>
      </c>
      <c r="E112" s="42" t="str">
        <f t="shared" si="2"/>
        <v>Criuleni</v>
      </c>
      <c r="F112" s="564" t="s">
        <v>632</v>
      </c>
      <c r="G112" s="294">
        <v>1063</v>
      </c>
      <c r="H112" s="294">
        <v>1103</v>
      </c>
      <c r="I112" s="294">
        <v>998</v>
      </c>
      <c r="J112" s="294">
        <v>902.9954669084316</v>
      </c>
      <c r="K112" s="294">
        <v>817.0348830232227</v>
      </c>
      <c r="L112" s="76"/>
      <c r="N112" s="77"/>
      <c r="O112" s="77"/>
      <c r="P112" s="78"/>
      <c r="Q112" s="77"/>
      <c r="R112" s="77"/>
    </row>
    <row r="113" spans="1:18" s="73" customFormat="1" ht="12.75">
      <c r="A113" s="66"/>
      <c r="B113" s="77"/>
      <c r="D113" s="42" t="str">
        <f t="shared" si="3"/>
        <v>D12</v>
      </c>
      <c r="E113" s="42" t="str">
        <f t="shared" si="2"/>
        <v>Donduşeni</v>
      </c>
      <c r="F113" s="564" t="s">
        <v>632</v>
      </c>
      <c r="G113" s="294">
        <v>747</v>
      </c>
      <c r="H113" s="294">
        <v>804</v>
      </c>
      <c r="I113" s="294">
        <v>802</v>
      </c>
      <c r="J113" s="294">
        <v>800.0049751243781</v>
      </c>
      <c r="K113" s="294">
        <v>798.014912997203</v>
      </c>
      <c r="L113" s="76"/>
      <c r="N113" s="77"/>
      <c r="O113" s="77"/>
      <c r="P113" s="78"/>
      <c r="Q113" s="77"/>
      <c r="R113" s="77"/>
    </row>
    <row r="114" spans="1:18" s="73" customFormat="1" ht="12.75">
      <c r="A114" s="66"/>
      <c r="B114" s="77"/>
      <c r="D114" s="42" t="str">
        <f t="shared" si="3"/>
        <v>D13</v>
      </c>
      <c r="E114" s="42" t="str">
        <f t="shared" si="2"/>
        <v>Drochia</v>
      </c>
      <c r="F114" s="564" t="s">
        <v>632</v>
      </c>
      <c r="G114" s="294">
        <v>1294</v>
      </c>
      <c r="H114" s="294">
        <v>1389</v>
      </c>
      <c r="I114" s="294">
        <v>1370</v>
      </c>
      <c r="J114" s="294">
        <v>1351.2598992080634</v>
      </c>
      <c r="K114" s="294">
        <v>1332.7761424874348</v>
      </c>
      <c r="L114" s="76"/>
      <c r="N114" s="77"/>
      <c r="O114" s="77"/>
      <c r="P114" s="78"/>
      <c r="Q114" s="77"/>
      <c r="R114" s="77"/>
    </row>
    <row r="115" spans="1:18" s="73" customFormat="1" ht="12.75">
      <c r="A115" s="66"/>
      <c r="B115" s="77"/>
      <c r="D115" s="42" t="str">
        <f t="shared" si="3"/>
        <v>D14</v>
      </c>
      <c r="E115" s="42" t="str">
        <f t="shared" si="2"/>
        <v>Dubusǎri</v>
      </c>
      <c r="F115" s="564" t="s">
        <v>632</v>
      </c>
      <c r="G115" s="294">
        <v>456</v>
      </c>
      <c r="H115" s="294">
        <v>515</v>
      </c>
      <c r="I115" s="294">
        <v>238</v>
      </c>
      <c r="J115" s="294">
        <v>109.98834951456311</v>
      </c>
      <c r="K115" s="294">
        <v>50.82956734847771</v>
      </c>
      <c r="L115" s="76"/>
      <c r="N115" s="77"/>
      <c r="O115" s="77"/>
      <c r="P115" s="78"/>
      <c r="Q115" s="77"/>
      <c r="R115" s="77"/>
    </row>
    <row r="116" spans="1:18" s="73" customFormat="1" ht="12.75">
      <c r="A116" s="66"/>
      <c r="B116" s="77"/>
      <c r="D116" s="42" t="str">
        <f t="shared" si="3"/>
        <v>D15</v>
      </c>
      <c r="E116" s="42" t="str">
        <f t="shared" si="2"/>
        <v>Edineţ</v>
      </c>
      <c r="F116" s="564" t="s">
        <v>632</v>
      </c>
      <c r="G116" s="294">
        <v>1416</v>
      </c>
      <c r="H116" s="294">
        <v>1516</v>
      </c>
      <c r="I116" s="294">
        <v>1534</v>
      </c>
      <c r="J116" s="294">
        <v>1552.2137203166226</v>
      </c>
      <c r="K116" s="294">
        <v>1570.6436985261867</v>
      </c>
      <c r="L116" s="76"/>
      <c r="N116" s="77"/>
      <c r="O116" s="77"/>
      <c r="P116" s="78"/>
      <c r="Q116" s="77"/>
      <c r="R116" s="77"/>
    </row>
    <row r="117" spans="1:18" s="73" customFormat="1" ht="12.75">
      <c r="A117" s="66"/>
      <c r="B117" s="77"/>
      <c r="D117" s="42" t="str">
        <f t="shared" si="3"/>
        <v>D16</v>
      </c>
      <c r="E117" s="42" t="str">
        <f t="shared" si="2"/>
        <v>Fǎleşti</v>
      </c>
      <c r="F117" s="564" t="s">
        <v>632</v>
      </c>
      <c r="G117" s="294">
        <v>1145</v>
      </c>
      <c r="H117" s="294">
        <v>1209</v>
      </c>
      <c r="I117" s="294">
        <v>1253</v>
      </c>
      <c r="J117" s="294">
        <v>1298.601323407775</v>
      </c>
      <c r="K117" s="294">
        <v>1345.8622483291497</v>
      </c>
      <c r="L117" s="76"/>
      <c r="N117" s="77"/>
      <c r="O117" s="77"/>
      <c r="P117" s="78"/>
      <c r="Q117" s="77"/>
      <c r="R117" s="77"/>
    </row>
    <row r="118" spans="1:18" s="73" customFormat="1" ht="12.75">
      <c r="A118" s="66"/>
      <c r="B118" s="77"/>
      <c r="D118" s="42" t="str">
        <f t="shared" si="3"/>
        <v>D17</v>
      </c>
      <c r="E118" s="42" t="str">
        <f t="shared" si="2"/>
        <v>Floreşti</v>
      </c>
      <c r="F118" s="564" t="s">
        <v>632</v>
      </c>
      <c r="G118" s="294">
        <v>1180</v>
      </c>
      <c r="H118" s="294">
        <v>1255</v>
      </c>
      <c r="I118" s="294">
        <v>1293</v>
      </c>
      <c r="J118" s="294">
        <v>1332.1505976095618</v>
      </c>
      <c r="K118" s="294">
        <v>1372.4866316407677</v>
      </c>
      <c r="L118" s="76"/>
      <c r="N118" s="77"/>
      <c r="O118" s="77"/>
      <c r="P118" s="78"/>
      <c r="Q118" s="77"/>
      <c r="R118" s="77"/>
    </row>
    <row r="119" spans="1:18" s="73" customFormat="1" ht="12.75">
      <c r="A119" s="66"/>
      <c r="B119" s="77"/>
      <c r="D119" s="42" t="str">
        <f t="shared" si="3"/>
        <v>D18</v>
      </c>
      <c r="E119" s="42" t="str">
        <f t="shared" si="2"/>
        <v>Glodeni</v>
      </c>
      <c r="F119" s="564" t="s">
        <v>632</v>
      </c>
      <c r="G119" s="294">
        <v>1009</v>
      </c>
      <c r="H119" s="294">
        <v>1049</v>
      </c>
      <c r="I119" s="294">
        <v>1065</v>
      </c>
      <c r="J119" s="294">
        <v>1081.2440419447094</v>
      </c>
      <c r="K119" s="294">
        <v>1097.7358481135514</v>
      </c>
      <c r="L119" s="76"/>
      <c r="N119" s="77"/>
      <c r="O119" s="77"/>
      <c r="P119" s="78"/>
      <c r="Q119" s="77"/>
      <c r="R119" s="77"/>
    </row>
    <row r="120" spans="1:18" s="73" customFormat="1" ht="12.75">
      <c r="A120" s="66"/>
      <c r="B120" s="77"/>
      <c r="D120" s="42" t="str">
        <f t="shared" si="3"/>
        <v>D19</v>
      </c>
      <c r="E120" s="42" t="str">
        <f t="shared" si="2"/>
        <v>Hinceşti</v>
      </c>
      <c r="F120" s="564" t="s">
        <v>632</v>
      </c>
      <c r="G120" s="294">
        <v>1633</v>
      </c>
      <c r="H120" s="294">
        <v>1746</v>
      </c>
      <c r="I120" s="294">
        <v>1737</v>
      </c>
      <c r="J120" s="294">
        <v>1728.0463917525774</v>
      </c>
      <c r="K120" s="294">
        <v>1719.1389361249867</v>
      </c>
      <c r="L120" s="76"/>
      <c r="N120" s="77"/>
      <c r="O120" s="77"/>
      <c r="P120" s="78"/>
      <c r="Q120" s="77"/>
      <c r="R120" s="77"/>
    </row>
    <row r="121" spans="1:18" s="73" customFormat="1" ht="12.75">
      <c r="A121" s="66"/>
      <c r="B121" s="77"/>
      <c r="D121" s="42" t="str">
        <f t="shared" si="3"/>
        <v>D20</v>
      </c>
      <c r="E121" s="42" t="str">
        <f t="shared" si="2"/>
        <v>Ialoveni</v>
      </c>
      <c r="F121" s="564" t="s">
        <v>632</v>
      </c>
      <c r="G121" s="294">
        <v>1427</v>
      </c>
      <c r="H121" s="294">
        <v>1479</v>
      </c>
      <c r="I121" s="294">
        <v>1566</v>
      </c>
      <c r="J121" s="294">
        <v>1658.1176470588234</v>
      </c>
      <c r="K121" s="294">
        <v>1755.653979238754</v>
      </c>
      <c r="L121" s="76"/>
      <c r="N121" s="77"/>
      <c r="O121" s="77"/>
      <c r="P121" s="78"/>
      <c r="Q121" s="77"/>
      <c r="R121" s="77"/>
    </row>
    <row r="122" spans="1:18" s="73" customFormat="1" ht="12.75">
      <c r="A122" s="66"/>
      <c r="B122" s="77"/>
      <c r="D122" s="42" t="str">
        <f t="shared" si="3"/>
        <v>D21</v>
      </c>
      <c r="E122" s="42" t="str">
        <f t="shared" si="2"/>
        <v>Leova</v>
      </c>
      <c r="F122" s="564" t="s">
        <v>632</v>
      </c>
      <c r="G122" s="294">
        <v>789</v>
      </c>
      <c r="H122" s="294">
        <v>852</v>
      </c>
      <c r="I122" s="294">
        <v>853</v>
      </c>
      <c r="J122" s="294">
        <v>854.0011737089202</v>
      </c>
      <c r="K122" s="294">
        <v>855.0035225043532</v>
      </c>
      <c r="L122" s="76"/>
      <c r="N122" s="77"/>
      <c r="O122" s="77"/>
      <c r="P122" s="78"/>
      <c r="Q122" s="77"/>
      <c r="R122" s="77"/>
    </row>
    <row r="123" spans="1:18" s="73" customFormat="1" ht="12.75">
      <c r="A123" s="66"/>
      <c r="B123" s="77"/>
      <c r="D123" s="42" t="str">
        <f t="shared" si="3"/>
        <v>D22</v>
      </c>
      <c r="E123" s="42" t="str">
        <f t="shared" si="2"/>
        <v>Nisporeni</v>
      </c>
      <c r="F123" s="564" t="s">
        <v>632</v>
      </c>
      <c r="G123" s="294">
        <v>864</v>
      </c>
      <c r="H123" s="294">
        <v>891</v>
      </c>
      <c r="I123" s="294">
        <v>921</v>
      </c>
      <c r="J123" s="294">
        <v>952.010101010101</v>
      </c>
      <c r="K123" s="294">
        <v>984.0643131653234</v>
      </c>
      <c r="L123" s="76"/>
      <c r="N123" s="77"/>
      <c r="O123" s="77"/>
      <c r="P123" s="78"/>
      <c r="Q123" s="77"/>
      <c r="R123" s="77"/>
    </row>
    <row r="124" spans="1:18" s="73" customFormat="1" ht="12.75">
      <c r="A124" s="66"/>
      <c r="B124" s="77"/>
      <c r="D124" s="42" t="str">
        <f t="shared" si="3"/>
        <v>D23</v>
      </c>
      <c r="E124" s="42" t="str">
        <f t="shared" si="2"/>
        <v>Ocniţa</v>
      </c>
      <c r="F124" s="564" t="s">
        <v>632</v>
      </c>
      <c r="G124" s="294">
        <v>992</v>
      </c>
      <c r="H124" s="294">
        <v>1031</v>
      </c>
      <c r="I124" s="294">
        <v>1034</v>
      </c>
      <c r="J124" s="294">
        <v>1037.0087293889428</v>
      </c>
      <c r="K124" s="294">
        <v>1040.0262135675723</v>
      </c>
      <c r="L124" s="76"/>
      <c r="N124" s="77"/>
      <c r="O124" s="77"/>
      <c r="P124" s="78"/>
      <c r="Q124" s="77"/>
      <c r="R124" s="77"/>
    </row>
    <row r="125" spans="1:18" s="73" customFormat="1" ht="12.75">
      <c r="A125" s="66"/>
      <c r="B125" s="77"/>
      <c r="D125" s="42" t="str">
        <f t="shared" si="3"/>
        <v>D24</v>
      </c>
      <c r="E125" s="42" t="str">
        <f t="shared" si="2"/>
        <v>Orhei</v>
      </c>
      <c r="F125" s="564" t="s">
        <v>632</v>
      </c>
      <c r="G125" s="294">
        <v>2350</v>
      </c>
      <c r="H125" s="294">
        <v>2457</v>
      </c>
      <c r="I125" s="294">
        <v>2463</v>
      </c>
      <c r="J125" s="294">
        <v>2469.014652014652</v>
      </c>
      <c r="K125" s="294">
        <v>2475.0439918242114</v>
      </c>
      <c r="L125" s="76"/>
      <c r="N125" s="77"/>
      <c r="O125" s="77"/>
      <c r="P125" s="78"/>
      <c r="Q125" s="77"/>
      <c r="R125" s="77"/>
    </row>
    <row r="126" spans="1:18" s="73" customFormat="1" ht="12.75">
      <c r="A126" s="66"/>
      <c r="B126" s="77"/>
      <c r="D126" s="42" t="str">
        <f t="shared" si="3"/>
        <v>D25</v>
      </c>
      <c r="E126" s="42" t="str">
        <f t="shared" si="2"/>
        <v>Rezina</v>
      </c>
      <c r="F126" s="564" t="s">
        <v>632</v>
      </c>
      <c r="G126" s="294">
        <v>964</v>
      </c>
      <c r="H126" s="294">
        <v>998</v>
      </c>
      <c r="I126" s="294">
        <v>1011</v>
      </c>
      <c r="J126" s="294">
        <v>1024.1693386773547</v>
      </c>
      <c r="K126" s="294">
        <v>1037.5102218464986</v>
      </c>
      <c r="L126" s="76"/>
      <c r="N126" s="77"/>
      <c r="O126" s="77"/>
      <c r="P126" s="78"/>
      <c r="Q126" s="77"/>
      <c r="R126" s="77"/>
    </row>
    <row r="127" spans="1:18" s="73" customFormat="1" ht="12.75">
      <c r="A127" s="66"/>
      <c r="B127" s="77"/>
      <c r="D127" s="42" t="str">
        <f t="shared" si="3"/>
        <v>D26</v>
      </c>
      <c r="E127" s="42" t="str">
        <f t="shared" si="2"/>
        <v>Rîşcani</v>
      </c>
      <c r="F127" s="564" t="s">
        <v>632</v>
      </c>
      <c r="G127" s="294">
        <v>1036</v>
      </c>
      <c r="H127" s="294">
        <v>1083</v>
      </c>
      <c r="I127" s="294">
        <v>1096</v>
      </c>
      <c r="J127" s="294">
        <v>1109.156048014774</v>
      </c>
      <c r="K127" s="294">
        <v>1122.4700171968534</v>
      </c>
      <c r="L127" s="76"/>
      <c r="N127" s="77"/>
      <c r="O127" s="77"/>
      <c r="P127" s="78"/>
      <c r="Q127" s="77"/>
      <c r="R127" s="77"/>
    </row>
    <row r="128" spans="1:18" s="73" customFormat="1" ht="12.75">
      <c r="A128" s="66"/>
      <c r="B128" s="77"/>
      <c r="D128" s="42" t="str">
        <f t="shared" si="3"/>
        <v>D27</v>
      </c>
      <c r="E128" s="42" t="str">
        <f t="shared" si="2"/>
        <v>Sîngerei</v>
      </c>
      <c r="F128" s="564" t="s">
        <v>632</v>
      </c>
      <c r="G128" s="294">
        <v>1085</v>
      </c>
      <c r="H128" s="294">
        <v>1131</v>
      </c>
      <c r="I128" s="294">
        <v>1148</v>
      </c>
      <c r="J128" s="294">
        <v>1165.2555260831123</v>
      </c>
      <c r="K128" s="294">
        <v>1182.7704190481104</v>
      </c>
      <c r="L128" s="76"/>
      <c r="N128" s="77"/>
      <c r="O128" s="77"/>
      <c r="P128" s="78"/>
      <c r="Q128" s="77"/>
      <c r="R128" s="77"/>
    </row>
    <row r="129" spans="1:18" s="73" customFormat="1" ht="12.75">
      <c r="A129" s="66"/>
      <c r="B129" s="77"/>
      <c r="D129" s="42" t="str">
        <f t="shared" si="3"/>
        <v>D28</v>
      </c>
      <c r="E129" s="42" t="str">
        <f t="shared" si="2"/>
        <v>Soroca</v>
      </c>
      <c r="F129" s="564" t="s">
        <v>632</v>
      </c>
      <c r="G129" s="294">
        <v>1693</v>
      </c>
      <c r="H129" s="294">
        <v>1793</v>
      </c>
      <c r="I129" s="294">
        <v>2377</v>
      </c>
      <c r="J129" s="294">
        <v>3151.2152816508647</v>
      </c>
      <c r="K129" s="294">
        <v>4177.601073331905</v>
      </c>
      <c r="L129" s="76"/>
      <c r="N129" s="77"/>
      <c r="O129" s="77"/>
      <c r="P129" s="78"/>
      <c r="Q129" s="77"/>
      <c r="R129" s="77"/>
    </row>
    <row r="130" spans="1:18" s="73" customFormat="1" ht="12.75">
      <c r="A130" s="66"/>
      <c r="B130" s="77"/>
      <c r="D130" s="42" t="str">
        <f t="shared" si="3"/>
        <v>D29</v>
      </c>
      <c r="E130" s="42" t="str">
        <f t="shared" si="2"/>
        <v>Strǎşeni</v>
      </c>
      <c r="F130" s="564" t="s">
        <v>632</v>
      </c>
      <c r="G130" s="294">
        <v>1155</v>
      </c>
      <c r="H130" s="294">
        <v>1249</v>
      </c>
      <c r="I130" s="294">
        <v>1301</v>
      </c>
      <c r="J130" s="294">
        <v>1355.1649319455564</v>
      </c>
      <c r="K130" s="294">
        <v>1411.584929112225</v>
      </c>
      <c r="L130" s="76"/>
      <c r="N130" s="77"/>
      <c r="O130" s="77"/>
      <c r="P130" s="78"/>
      <c r="Q130" s="77"/>
      <c r="R130" s="77"/>
    </row>
    <row r="131" spans="1:18" s="73" customFormat="1" ht="12.75">
      <c r="A131" s="66"/>
      <c r="B131" s="77"/>
      <c r="D131" s="42" t="str">
        <f t="shared" si="3"/>
        <v>D30</v>
      </c>
      <c r="E131" s="42" t="str">
        <f t="shared" si="2"/>
        <v>Şoldăneşti</v>
      </c>
      <c r="F131" s="564" t="s">
        <v>632</v>
      </c>
      <c r="G131" s="294">
        <v>563</v>
      </c>
      <c r="H131" s="294">
        <v>628</v>
      </c>
      <c r="I131" s="294">
        <v>629</v>
      </c>
      <c r="J131" s="294">
        <v>630.0015923566879</v>
      </c>
      <c r="K131" s="294">
        <v>631.0047796056634</v>
      </c>
      <c r="L131" s="76"/>
      <c r="N131" s="77"/>
      <c r="O131" s="77"/>
      <c r="P131" s="78"/>
      <c r="Q131" s="77"/>
      <c r="R131" s="77"/>
    </row>
    <row r="132" spans="1:18" s="73" customFormat="1" ht="12.75">
      <c r="A132" s="66"/>
      <c r="B132" s="77"/>
      <c r="D132" s="42" t="str">
        <f t="shared" si="3"/>
        <v>D31</v>
      </c>
      <c r="E132" s="42" t="str">
        <f t="shared" si="2"/>
        <v>Ştefan Vodă</v>
      </c>
      <c r="F132" s="564" t="s">
        <v>632</v>
      </c>
      <c r="G132" s="294">
        <v>960</v>
      </c>
      <c r="H132" s="294">
        <v>997</v>
      </c>
      <c r="I132" s="294">
        <v>1003</v>
      </c>
      <c r="J132" s="294">
        <v>1009.036108324975</v>
      </c>
      <c r="K132" s="294">
        <v>1015.1085422767802</v>
      </c>
      <c r="L132" s="76"/>
      <c r="N132" s="77"/>
      <c r="O132" s="77"/>
      <c r="P132" s="78"/>
      <c r="Q132" s="77"/>
      <c r="R132" s="77"/>
    </row>
    <row r="133" spans="1:18" s="73" customFormat="1" ht="12.75">
      <c r="A133" s="66"/>
      <c r="B133" s="77"/>
      <c r="D133" s="42" t="str">
        <f t="shared" si="3"/>
        <v>D32</v>
      </c>
      <c r="E133" s="42" t="str">
        <f t="shared" si="2"/>
        <v>Taraclia</v>
      </c>
      <c r="F133" s="564" t="s">
        <v>632</v>
      </c>
      <c r="G133" s="294">
        <v>1111</v>
      </c>
      <c r="H133" s="294">
        <v>1117</v>
      </c>
      <c r="I133" s="294">
        <v>1073</v>
      </c>
      <c r="J133" s="294">
        <v>1030.7332139659802</v>
      </c>
      <c r="K133" s="294">
        <v>990.1313684740347</v>
      </c>
      <c r="L133" s="76"/>
      <c r="N133" s="77"/>
      <c r="O133" s="77"/>
      <c r="P133" s="78"/>
      <c r="Q133" s="77"/>
      <c r="R133" s="77"/>
    </row>
    <row r="134" spans="1:18" s="73" customFormat="1" ht="12.75">
      <c r="A134" s="66"/>
      <c r="B134" s="77"/>
      <c r="D134" s="42" t="str">
        <f t="shared" si="3"/>
        <v>D33</v>
      </c>
      <c r="E134" s="42" t="str">
        <f t="shared" si="2"/>
        <v>Teleneşti</v>
      </c>
      <c r="F134" s="564" t="s">
        <v>632</v>
      </c>
      <c r="G134" s="294">
        <v>984</v>
      </c>
      <c r="H134" s="294">
        <v>1035</v>
      </c>
      <c r="I134" s="294">
        <v>1086</v>
      </c>
      <c r="J134" s="294">
        <v>1139.513043478261</v>
      </c>
      <c r="K134" s="294">
        <v>1195.6629615626969</v>
      </c>
      <c r="L134" s="76"/>
      <c r="N134" s="77"/>
      <c r="O134" s="77"/>
      <c r="P134" s="78"/>
      <c r="Q134" s="77"/>
      <c r="R134" s="77"/>
    </row>
    <row r="135" spans="1:18" s="73" customFormat="1" ht="12.75">
      <c r="A135" s="66"/>
      <c r="B135" s="77"/>
      <c r="D135" s="42" t="str">
        <f t="shared" si="3"/>
        <v>D34</v>
      </c>
      <c r="E135" s="42" t="str">
        <f t="shared" si="2"/>
        <v>Ungheni</v>
      </c>
      <c r="F135" s="564" t="s">
        <v>632</v>
      </c>
      <c r="G135" s="294">
        <v>1823</v>
      </c>
      <c r="H135" s="294">
        <v>1915</v>
      </c>
      <c r="I135" s="294">
        <v>2097</v>
      </c>
      <c r="J135" s="294">
        <v>2296.297127937337</v>
      </c>
      <c r="K135" s="294">
        <v>2514.5352883992664</v>
      </c>
      <c r="L135" s="76"/>
      <c r="N135" s="77"/>
      <c r="O135" s="77"/>
      <c r="P135" s="78"/>
      <c r="Q135" s="77"/>
      <c r="R135" s="77"/>
    </row>
    <row r="136" spans="1:18" s="73" customFormat="1" ht="12.75">
      <c r="A136" s="66"/>
      <c r="B136" s="77"/>
      <c r="D136" s="42" t="str">
        <f t="shared" si="3"/>
        <v>D35</v>
      </c>
      <c r="E136" s="42" t="str">
        <f t="shared" si="2"/>
        <v>Găgăuzia</v>
      </c>
      <c r="F136" s="564" t="s">
        <v>632</v>
      </c>
      <c r="G136" s="294">
        <v>3809</v>
      </c>
      <c r="H136" s="294">
        <v>3944</v>
      </c>
      <c r="I136" s="294">
        <v>3507</v>
      </c>
      <c r="J136" s="294">
        <v>3118.4201318458418</v>
      </c>
      <c r="K136" s="294">
        <v>2772.8953859998396</v>
      </c>
      <c r="L136" s="76"/>
      <c r="N136" s="77"/>
      <c r="O136" s="77"/>
      <c r="P136" s="78"/>
      <c r="Q136" s="77"/>
      <c r="R136" s="77"/>
    </row>
    <row r="137" spans="1:18" s="73" customFormat="1" ht="12.75">
      <c r="A137" s="66"/>
      <c r="B137" s="77"/>
      <c r="D137" s="490" t="s">
        <v>635</v>
      </c>
      <c r="E137" s="490"/>
      <c r="F137" s="491"/>
      <c r="G137" s="477">
        <f>SUM(G102:G136)</f>
        <v>103754</v>
      </c>
      <c r="H137" s="477">
        <f>SUM(H102:H136)</f>
        <v>107370</v>
      </c>
      <c r="I137" s="477">
        <f>SUM(I102:I136)</f>
        <v>107750</v>
      </c>
      <c r="J137" s="477">
        <f>SUM(J102:J136)</f>
        <v>108619.0785046572</v>
      </c>
      <c r="K137" s="477">
        <f>SUM(K102:K136)</f>
        <v>109953.4370502634</v>
      </c>
      <c r="L137" s="76"/>
      <c r="N137" s="77"/>
      <c r="O137" s="77"/>
      <c r="P137" s="78"/>
      <c r="Q137" s="77"/>
      <c r="R137" s="77"/>
    </row>
    <row r="138" spans="1:19" s="73" customFormat="1" ht="12.75">
      <c r="A138" s="66"/>
      <c r="B138" s="77"/>
      <c r="D138" s="123"/>
      <c r="E138" s="1"/>
      <c r="F138" s="1"/>
      <c r="G138" s="1"/>
      <c r="H138" s="471"/>
      <c r="I138" s="472"/>
      <c r="J138" s="473"/>
      <c r="K138" s="473"/>
      <c r="L138" s="76"/>
      <c r="M138" s="76"/>
      <c r="O138" s="77"/>
      <c r="P138" s="77"/>
      <c r="Q138" s="78"/>
      <c r="R138" s="77"/>
      <c r="S138" s="77"/>
    </row>
    <row r="139" spans="1:19" s="73" customFormat="1" ht="12.75">
      <c r="A139" s="66"/>
      <c r="B139" s="77"/>
      <c r="D139" s="123"/>
      <c r="E139" s="1"/>
      <c r="F139" s="1"/>
      <c r="G139" s="1"/>
      <c r="H139" s="471"/>
      <c r="I139" s="472"/>
      <c r="J139" s="473"/>
      <c r="K139" s="473"/>
      <c r="L139" s="76"/>
      <c r="M139" s="76"/>
      <c r="O139" s="77"/>
      <c r="P139" s="77"/>
      <c r="Q139" s="78"/>
      <c r="R139" s="77"/>
      <c r="S139" s="77"/>
    </row>
    <row r="140" spans="1:19" s="73" customFormat="1" ht="12.75">
      <c r="A140" s="66"/>
      <c r="B140" s="77"/>
      <c r="D140" s="508" t="s">
        <v>697</v>
      </c>
      <c r="E140" s="79"/>
      <c r="F140" s="81"/>
      <c r="G140" s="82"/>
      <c r="H140" s="82"/>
      <c r="I140" s="82"/>
      <c r="J140" s="75"/>
      <c r="K140" s="75"/>
      <c r="L140" s="76"/>
      <c r="M140" s="76"/>
      <c r="O140" s="77"/>
      <c r="P140" s="77"/>
      <c r="Q140" s="78"/>
      <c r="R140" s="77"/>
      <c r="S140" s="77"/>
    </row>
    <row r="141" spans="1:19" s="73" customFormat="1" ht="12.75">
      <c r="A141" s="66"/>
      <c r="B141" s="77"/>
      <c r="D141" s="1"/>
      <c r="E141" s="1"/>
      <c r="F141" s="75"/>
      <c r="G141" s="75"/>
      <c r="H141" s="75"/>
      <c r="I141" s="75"/>
      <c r="J141" s="75"/>
      <c r="K141" s="75"/>
      <c r="L141" s="76"/>
      <c r="M141" s="679" t="s">
        <v>190</v>
      </c>
      <c r="O141" s="77"/>
      <c r="P141" s="77"/>
      <c r="Q141" s="78"/>
      <c r="R141" s="77"/>
      <c r="S141" s="77"/>
    </row>
    <row r="142" spans="1:19" s="73" customFormat="1" ht="12.75">
      <c r="A142" s="66"/>
      <c r="B142" s="77"/>
      <c r="D142" s="295" t="s">
        <v>634</v>
      </c>
      <c r="E142" s="297" t="str">
        <f aca="true" t="shared" si="4" ref="E142:E177">E101</f>
        <v>District</v>
      </c>
      <c r="F142" s="92" t="s">
        <v>652</v>
      </c>
      <c r="G142" s="293">
        <f>G101</f>
        <v>2008</v>
      </c>
      <c r="H142" s="293">
        <f>H101</f>
        <v>2009</v>
      </c>
      <c r="I142" s="293">
        <f>I101</f>
        <v>2010</v>
      </c>
      <c r="J142" s="293">
        <f>J101</f>
        <v>2011</v>
      </c>
      <c r="K142" s="293">
        <f>K101</f>
        <v>2012</v>
      </c>
      <c r="L142" s="76"/>
      <c r="M142" s="680"/>
      <c r="O142" s="77"/>
      <c r="P142" s="77"/>
      <c r="Q142" s="78"/>
      <c r="R142" s="77"/>
      <c r="S142" s="77"/>
    </row>
    <row r="143" spans="1:19" s="73" customFormat="1" ht="12.75">
      <c r="A143" s="66"/>
      <c r="B143" s="77"/>
      <c r="D143" s="42" t="str">
        <f aca="true" t="shared" si="5" ref="D143:D177">D102</f>
        <v>D01</v>
      </c>
      <c r="E143" s="42" t="str">
        <f t="shared" si="4"/>
        <v>Chişinǎu</v>
      </c>
      <c r="F143" s="564" t="s">
        <v>632</v>
      </c>
      <c r="G143" s="479">
        <f aca="true" t="shared" si="6" ref="G143:K152">G61+G102</f>
        <v>329437</v>
      </c>
      <c r="H143" s="479">
        <f t="shared" si="6"/>
        <v>334406</v>
      </c>
      <c r="I143" s="479">
        <f t="shared" si="6"/>
        <v>340598</v>
      </c>
      <c r="J143" s="479">
        <f t="shared" si="6"/>
        <v>346933.4866625463</v>
      </c>
      <c r="K143" s="479">
        <f t="shared" si="6"/>
        <v>353415.7240142124</v>
      </c>
      <c r="L143" s="76"/>
      <c r="M143" s="474">
        <f>K143/(G17*1000)</f>
        <v>0.4499818232928602</v>
      </c>
      <c r="O143" s="77"/>
      <c r="P143" s="77"/>
      <c r="Q143" s="78"/>
      <c r="R143" s="77"/>
      <c r="S143" s="77"/>
    </row>
    <row r="144" spans="1:19" s="73" customFormat="1" ht="12.75">
      <c r="A144" s="66"/>
      <c r="B144" s="77"/>
      <c r="D144" s="42" t="str">
        <f t="shared" si="5"/>
        <v>D02</v>
      </c>
      <c r="E144" s="42" t="str">
        <f t="shared" si="4"/>
        <v>Bǎlţi</v>
      </c>
      <c r="F144" s="564" t="s">
        <v>632</v>
      </c>
      <c r="G144" s="479">
        <f t="shared" si="6"/>
        <v>49001</v>
      </c>
      <c r="H144" s="479">
        <f t="shared" si="6"/>
        <v>50054</v>
      </c>
      <c r="I144" s="479">
        <f t="shared" si="6"/>
        <v>50689</v>
      </c>
      <c r="J144" s="479">
        <f t="shared" si="6"/>
        <v>51333.9090024145</v>
      </c>
      <c r="K144" s="479">
        <f t="shared" si="6"/>
        <v>51988.87260890541</v>
      </c>
      <c r="L144" s="76"/>
      <c r="M144" s="474">
        <f aca="true" t="shared" si="7" ref="M144:M178">K144/(G18*1000)</f>
        <v>0.3512761662763879</v>
      </c>
      <c r="O144" s="77"/>
      <c r="P144" s="77"/>
      <c r="Q144" s="78"/>
      <c r="R144" s="77"/>
      <c r="S144" s="77"/>
    </row>
    <row r="145" spans="1:19" s="73" customFormat="1" ht="12.75">
      <c r="A145" s="66"/>
      <c r="B145" s="77"/>
      <c r="D145" s="42" t="str">
        <f t="shared" si="5"/>
        <v>D03</v>
      </c>
      <c r="E145" s="42" t="str">
        <f t="shared" si="4"/>
        <v>Anenii Noi</v>
      </c>
      <c r="F145" s="564" t="s">
        <v>632</v>
      </c>
      <c r="G145" s="479">
        <f t="shared" si="6"/>
        <v>20897</v>
      </c>
      <c r="H145" s="479">
        <f t="shared" si="6"/>
        <v>22112</v>
      </c>
      <c r="I145" s="479">
        <f t="shared" si="6"/>
        <v>22038</v>
      </c>
      <c r="J145" s="479">
        <f t="shared" si="6"/>
        <v>21964.271257017237</v>
      </c>
      <c r="K145" s="479">
        <f t="shared" si="6"/>
        <v>21890.812796041402</v>
      </c>
      <c r="L145" s="76"/>
      <c r="M145" s="474">
        <f t="shared" si="7"/>
        <v>0.26342735013286883</v>
      </c>
      <c r="O145" s="77"/>
      <c r="P145" s="77"/>
      <c r="Q145" s="78"/>
      <c r="R145" s="77"/>
      <c r="S145" s="77"/>
    </row>
    <row r="146" spans="1:19" s="73" customFormat="1" ht="12.75">
      <c r="A146" s="66"/>
      <c r="B146" s="77"/>
      <c r="D146" s="42" t="str">
        <f t="shared" si="5"/>
        <v>D04</v>
      </c>
      <c r="E146" s="42" t="str">
        <f t="shared" si="4"/>
        <v>Basarabeasca</v>
      </c>
      <c r="F146" s="564" t="s">
        <v>632</v>
      </c>
      <c r="G146" s="479">
        <f t="shared" si="6"/>
        <v>7767</v>
      </c>
      <c r="H146" s="479">
        <f t="shared" si="6"/>
        <v>8038</v>
      </c>
      <c r="I146" s="479">
        <f t="shared" si="6"/>
        <v>8057</v>
      </c>
      <c r="J146" s="479">
        <f t="shared" si="6"/>
        <v>8102.207661308121</v>
      </c>
      <c r="K146" s="479">
        <f t="shared" si="6"/>
        <v>8169.027745398163</v>
      </c>
      <c r="L146" s="76"/>
      <c r="M146" s="474">
        <f t="shared" si="7"/>
        <v>0.27691619475925977</v>
      </c>
      <c r="O146" s="77"/>
      <c r="P146" s="77"/>
      <c r="Q146" s="78"/>
      <c r="R146" s="77"/>
      <c r="S146" s="77"/>
    </row>
    <row r="147" spans="1:19" s="73" customFormat="1" ht="12.75">
      <c r="A147" s="66"/>
      <c r="B147" s="77"/>
      <c r="D147" s="42" t="str">
        <f t="shared" si="5"/>
        <v>D05</v>
      </c>
      <c r="E147" s="42" t="str">
        <f t="shared" si="4"/>
        <v>Briceni</v>
      </c>
      <c r="F147" s="564" t="s">
        <v>632</v>
      </c>
      <c r="G147" s="479">
        <f t="shared" si="6"/>
        <v>23226</v>
      </c>
      <c r="H147" s="479">
        <f t="shared" si="6"/>
        <v>24128</v>
      </c>
      <c r="I147" s="479">
        <f t="shared" si="6"/>
        <v>25092</v>
      </c>
      <c r="J147" s="479">
        <f t="shared" si="6"/>
        <v>26096.654424541674</v>
      </c>
      <c r="K147" s="479">
        <f t="shared" si="6"/>
        <v>27143.84015390565</v>
      </c>
      <c r="L147" s="76"/>
      <c r="M147" s="474">
        <f t="shared" si="7"/>
        <v>0.35621837472317125</v>
      </c>
      <c r="O147" s="77"/>
      <c r="P147" s="77"/>
      <c r="Q147" s="78"/>
      <c r="R147" s="77"/>
      <c r="S147" s="77"/>
    </row>
    <row r="148" spans="1:19" s="73" customFormat="1" ht="12.75">
      <c r="A148" s="66"/>
      <c r="B148" s="77"/>
      <c r="D148" s="42" t="str">
        <f t="shared" si="5"/>
        <v>D06</v>
      </c>
      <c r="E148" s="42" t="str">
        <f t="shared" si="4"/>
        <v>Cahul</v>
      </c>
      <c r="F148" s="564" t="s">
        <v>632</v>
      </c>
      <c r="G148" s="479">
        <f t="shared" si="6"/>
        <v>32665</v>
      </c>
      <c r="H148" s="479">
        <f t="shared" si="6"/>
        <v>33424</v>
      </c>
      <c r="I148" s="479">
        <f t="shared" si="6"/>
        <v>34534</v>
      </c>
      <c r="J148" s="479">
        <f t="shared" si="6"/>
        <v>35692.82226619556</v>
      </c>
      <c r="K148" s="479">
        <f t="shared" si="6"/>
        <v>36903.59486453522</v>
      </c>
      <c r="L148" s="76"/>
      <c r="M148" s="474">
        <f t="shared" si="7"/>
        <v>0.29784983748615995</v>
      </c>
      <c r="O148" s="77"/>
      <c r="P148" s="77"/>
      <c r="Q148" s="78"/>
      <c r="R148" s="77"/>
      <c r="S148" s="77"/>
    </row>
    <row r="149" spans="1:19" s="73" customFormat="1" ht="12.75">
      <c r="A149" s="66"/>
      <c r="B149" s="77"/>
      <c r="D149" s="42" t="str">
        <f t="shared" si="5"/>
        <v>D07</v>
      </c>
      <c r="E149" s="42" t="str">
        <f t="shared" si="4"/>
        <v>Cantemir</v>
      </c>
      <c r="F149" s="564" t="s">
        <v>632</v>
      </c>
      <c r="G149" s="479">
        <f t="shared" si="6"/>
        <v>14009</v>
      </c>
      <c r="H149" s="479">
        <f t="shared" si="6"/>
        <v>14791</v>
      </c>
      <c r="I149" s="479">
        <f t="shared" si="6"/>
        <v>14577</v>
      </c>
      <c r="J149" s="479">
        <f t="shared" si="6"/>
        <v>14366.09914263536</v>
      </c>
      <c r="K149" s="479">
        <f t="shared" si="6"/>
        <v>14158.252498834092</v>
      </c>
      <c r="L149" s="76"/>
      <c r="M149" s="474">
        <f t="shared" si="7"/>
        <v>0.22366907581096512</v>
      </c>
      <c r="O149" s="77"/>
      <c r="P149" s="77"/>
      <c r="Q149" s="78"/>
      <c r="R149" s="77"/>
      <c r="S149" s="77"/>
    </row>
    <row r="150" spans="1:19" s="73" customFormat="1" ht="12.75">
      <c r="A150" s="66"/>
      <c r="B150" s="77"/>
      <c r="D150" s="42" t="str">
        <f t="shared" si="5"/>
        <v>D08</v>
      </c>
      <c r="E150" s="42" t="str">
        <f t="shared" si="4"/>
        <v>Cǎlǎraşi</v>
      </c>
      <c r="F150" s="564" t="s">
        <v>632</v>
      </c>
      <c r="G150" s="479">
        <f t="shared" si="6"/>
        <v>20152</v>
      </c>
      <c r="H150" s="479">
        <f t="shared" si="6"/>
        <v>20420</v>
      </c>
      <c r="I150" s="479">
        <f t="shared" si="6"/>
        <v>20859</v>
      </c>
      <c r="J150" s="479">
        <f t="shared" si="6"/>
        <v>21307.716943045158</v>
      </c>
      <c r="K150" s="479">
        <f t="shared" si="6"/>
        <v>21766.367851833405</v>
      </c>
      <c r="L150" s="76"/>
      <c r="M150" s="474">
        <f t="shared" si="7"/>
        <v>0.27448130960697864</v>
      </c>
      <c r="O150" s="77"/>
      <c r="P150" s="77"/>
      <c r="Q150" s="78"/>
      <c r="R150" s="77"/>
      <c r="S150" s="77"/>
    </row>
    <row r="151" spans="1:19" s="73" customFormat="1" ht="12.75">
      <c r="A151" s="66"/>
      <c r="B151" s="77"/>
      <c r="D151" s="42" t="str">
        <f t="shared" si="5"/>
        <v>D09</v>
      </c>
      <c r="E151" s="42" t="str">
        <f t="shared" si="4"/>
        <v>Cǎuşeni</v>
      </c>
      <c r="F151" s="564" t="s">
        <v>632</v>
      </c>
      <c r="G151" s="479">
        <f t="shared" si="6"/>
        <v>23259</v>
      </c>
      <c r="H151" s="479">
        <f t="shared" si="6"/>
        <v>24650</v>
      </c>
      <c r="I151" s="479">
        <f t="shared" si="6"/>
        <v>25467</v>
      </c>
      <c r="J151" s="479">
        <f t="shared" si="6"/>
        <v>26311.983585502818</v>
      </c>
      <c r="K151" s="479">
        <f t="shared" si="6"/>
        <v>27185.916425585707</v>
      </c>
      <c r="L151" s="76"/>
      <c r="M151" s="474">
        <f t="shared" si="7"/>
        <v>0.29326770685637227</v>
      </c>
      <c r="O151" s="77"/>
      <c r="P151" s="77"/>
      <c r="Q151" s="78"/>
      <c r="R151" s="77"/>
      <c r="S151" s="77"/>
    </row>
    <row r="152" spans="1:19" s="73" customFormat="1" ht="12.75">
      <c r="A152" s="66"/>
      <c r="B152" s="77"/>
      <c r="D152" s="42" t="str">
        <f t="shared" si="5"/>
        <v>D10</v>
      </c>
      <c r="E152" s="42" t="str">
        <f t="shared" si="4"/>
        <v>Cimişlia</v>
      </c>
      <c r="F152" s="564" t="s">
        <v>632</v>
      </c>
      <c r="G152" s="479">
        <f t="shared" si="6"/>
        <v>15410</v>
      </c>
      <c r="H152" s="479">
        <f t="shared" si="6"/>
        <v>16575</v>
      </c>
      <c r="I152" s="479">
        <f t="shared" si="6"/>
        <v>16955</v>
      </c>
      <c r="J152" s="479">
        <f t="shared" si="6"/>
        <v>17344.65321165046</v>
      </c>
      <c r="K152" s="479">
        <f t="shared" si="6"/>
        <v>17744.199209109538</v>
      </c>
      <c r="L152" s="76"/>
      <c r="M152" s="474">
        <f t="shared" si="7"/>
        <v>0.28345366148737283</v>
      </c>
      <c r="O152" s="77"/>
      <c r="P152" s="77"/>
      <c r="Q152" s="78"/>
      <c r="R152" s="77"/>
      <c r="S152" s="77"/>
    </row>
    <row r="153" spans="1:19" s="73" customFormat="1" ht="12.75">
      <c r="A153" s="66"/>
      <c r="B153" s="77"/>
      <c r="D153" s="42" t="str">
        <f t="shared" si="5"/>
        <v>D11</v>
      </c>
      <c r="E153" s="42" t="str">
        <f t="shared" si="4"/>
        <v>Criuleni</v>
      </c>
      <c r="F153" s="564" t="s">
        <v>632</v>
      </c>
      <c r="G153" s="479">
        <f aca="true" t="shared" si="8" ref="G153:K162">G71+G112</f>
        <v>17876</v>
      </c>
      <c r="H153" s="479">
        <f t="shared" si="8"/>
        <v>19441</v>
      </c>
      <c r="I153" s="479">
        <f t="shared" si="8"/>
        <v>19692</v>
      </c>
      <c r="J153" s="479">
        <f t="shared" si="8"/>
        <v>19959.90658044317</v>
      </c>
      <c r="K153" s="479">
        <f t="shared" si="8"/>
        <v>20243.90239073499</v>
      </c>
      <c r="L153" s="76"/>
      <c r="M153" s="474">
        <f t="shared" si="7"/>
        <v>0.2780755822903158</v>
      </c>
      <c r="O153" s="77"/>
      <c r="P153" s="77"/>
      <c r="Q153" s="78"/>
      <c r="R153" s="77"/>
      <c r="S153" s="77"/>
    </row>
    <row r="154" spans="1:19" s="73" customFormat="1" ht="12.75">
      <c r="A154" s="66"/>
      <c r="B154" s="77"/>
      <c r="D154" s="42" t="str">
        <f t="shared" si="5"/>
        <v>D12</v>
      </c>
      <c r="E154" s="42" t="str">
        <f t="shared" si="4"/>
        <v>Donduşeni</v>
      </c>
      <c r="F154" s="564" t="s">
        <v>632</v>
      </c>
      <c r="G154" s="479">
        <f t="shared" si="8"/>
        <v>12589</v>
      </c>
      <c r="H154" s="479">
        <f t="shared" si="8"/>
        <v>13616</v>
      </c>
      <c r="I154" s="479">
        <f t="shared" si="8"/>
        <v>13833</v>
      </c>
      <c r="J154" s="479">
        <f t="shared" si="8"/>
        <v>14053.74841877096</v>
      </c>
      <c r="K154" s="479">
        <f t="shared" si="8"/>
        <v>14278.309231929343</v>
      </c>
      <c r="L154" s="76"/>
      <c r="M154" s="474">
        <f t="shared" si="7"/>
        <v>0.31039802678107264</v>
      </c>
      <c r="O154" s="77"/>
      <c r="P154" s="77"/>
      <c r="Q154" s="78"/>
      <c r="R154" s="77"/>
      <c r="S154" s="77"/>
    </row>
    <row r="155" spans="1:19" s="73" customFormat="1" ht="12.75">
      <c r="A155" s="66"/>
      <c r="B155" s="77"/>
      <c r="D155" s="42" t="str">
        <f t="shared" si="5"/>
        <v>D13</v>
      </c>
      <c r="E155" s="42" t="str">
        <f t="shared" si="4"/>
        <v>Drochia</v>
      </c>
      <c r="F155" s="564" t="s">
        <v>632</v>
      </c>
      <c r="G155" s="479">
        <f t="shared" si="8"/>
        <v>24978</v>
      </c>
      <c r="H155" s="479">
        <f t="shared" si="8"/>
        <v>26765</v>
      </c>
      <c r="I155" s="479">
        <f t="shared" si="8"/>
        <v>26482</v>
      </c>
      <c r="J155" s="479">
        <f t="shared" si="8"/>
        <v>26202.006431364433</v>
      </c>
      <c r="K155" s="479">
        <f t="shared" si="8"/>
        <v>25924.987165324394</v>
      </c>
      <c r="L155" s="76"/>
      <c r="M155" s="474">
        <f t="shared" si="7"/>
        <v>0.2845772466007068</v>
      </c>
      <c r="O155" s="77"/>
      <c r="P155" s="77"/>
      <c r="Q155" s="78"/>
      <c r="R155" s="77"/>
      <c r="S155" s="77"/>
    </row>
    <row r="156" spans="1:19" s="73" customFormat="1" ht="12.75">
      <c r="A156" s="66"/>
      <c r="B156" s="77"/>
      <c r="D156" s="42" t="str">
        <f t="shared" si="5"/>
        <v>D14</v>
      </c>
      <c r="E156" s="42" t="str">
        <f t="shared" si="4"/>
        <v>Dubusǎri</v>
      </c>
      <c r="F156" s="564" t="s">
        <v>632</v>
      </c>
      <c r="G156" s="479">
        <f t="shared" si="8"/>
        <v>7661</v>
      </c>
      <c r="H156" s="479">
        <f t="shared" si="8"/>
        <v>7874</v>
      </c>
      <c r="I156" s="479">
        <f t="shared" si="8"/>
        <v>8137</v>
      </c>
      <c r="J156" s="479">
        <f t="shared" si="8"/>
        <v>8588.613298556551</v>
      </c>
      <c r="K156" s="479">
        <f t="shared" si="8"/>
        <v>9151.612074819965</v>
      </c>
      <c r="L156" s="76"/>
      <c r="M156" s="474">
        <f t="shared" si="7"/>
        <v>0.25998897939829446</v>
      </c>
      <c r="O156" s="77"/>
      <c r="P156" s="77"/>
      <c r="Q156" s="78"/>
      <c r="R156" s="77"/>
      <c r="S156" s="77"/>
    </row>
    <row r="157" spans="1:19" s="73" customFormat="1" ht="12.75">
      <c r="A157" s="66"/>
      <c r="B157" s="77"/>
      <c r="D157" s="42" t="str">
        <f t="shared" si="5"/>
        <v>D15</v>
      </c>
      <c r="E157" s="42" t="str">
        <f t="shared" si="4"/>
        <v>Edineţ</v>
      </c>
      <c r="F157" s="564" t="s">
        <v>632</v>
      </c>
      <c r="G157" s="479">
        <f t="shared" si="8"/>
        <v>23555</v>
      </c>
      <c r="H157" s="479">
        <f t="shared" si="8"/>
        <v>23890</v>
      </c>
      <c r="I157" s="479">
        <f t="shared" si="8"/>
        <v>24559</v>
      </c>
      <c r="J157" s="479">
        <f t="shared" si="8"/>
        <v>25247.155393687503</v>
      </c>
      <c r="K157" s="479">
        <f t="shared" si="8"/>
        <v>25955.01985072805</v>
      </c>
      <c r="L157" s="76"/>
      <c r="M157" s="474">
        <f t="shared" si="7"/>
        <v>0.31121126919338193</v>
      </c>
      <c r="O157" s="77"/>
      <c r="P157" s="77"/>
      <c r="Q157" s="78"/>
      <c r="R157" s="77"/>
      <c r="S157" s="77"/>
    </row>
    <row r="158" spans="1:19" s="73" customFormat="1" ht="12.75">
      <c r="A158" s="66"/>
      <c r="B158" s="77"/>
      <c r="D158" s="42" t="str">
        <f t="shared" si="5"/>
        <v>D16</v>
      </c>
      <c r="E158" s="42" t="str">
        <f t="shared" si="4"/>
        <v>Fǎleşti</v>
      </c>
      <c r="F158" s="564" t="s">
        <v>632</v>
      </c>
      <c r="G158" s="479">
        <f t="shared" si="8"/>
        <v>22876</v>
      </c>
      <c r="H158" s="479">
        <f t="shared" si="8"/>
        <v>24104</v>
      </c>
      <c r="I158" s="479">
        <f t="shared" si="8"/>
        <v>24735</v>
      </c>
      <c r="J158" s="479">
        <f t="shared" si="8"/>
        <v>25382.651290649534</v>
      </c>
      <c r="K158" s="479">
        <f t="shared" si="8"/>
        <v>26047.398012940244</v>
      </c>
      <c r="L158" s="76"/>
      <c r="M158" s="474">
        <f t="shared" si="7"/>
        <v>0.27917897119978824</v>
      </c>
      <c r="O158" s="77"/>
      <c r="P158" s="77"/>
      <c r="Q158" s="78"/>
      <c r="R158" s="77"/>
      <c r="S158" s="77"/>
    </row>
    <row r="159" spans="1:19" s="73" customFormat="1" ht="12.75">
      <c r="A159" s="66"/>
      <c r="B159" s="77"/>
      <c r="D159" s="42" t="str">
        <f t="shared" si="5"/>
        <v>D17</v>
      </c>
      <c r="E159" s="42" t="str">
        <f t="shared" si="4"/>
        <v>Floreşti</v>
      </c>
      <c r="F159" s="564" t="s">
        <v>632</v>
      </c>
      <c r="G159" s="479">
        <f t="shared" si="8"/>
        <v>22949</v>
      </c>
      <c r="H159" s="479">
        <f t="shared" si="8"/>
        <v>23042</v>
      </c>
      <c r="I159" s="479">
        <f t="shared" si="8"/>
        <v>23848</v>
      </c>
      <c r="J159" s="479">
        <f t="shared" si="8"/>
        <v>24682.222888425185</v>
      </c>
      <c r="K159" s="479">
        <f t="shared" si="8"/>
        <v>25545.657812590252</v>
      </c>
      <c r="L159" s="76"/>
      <c r="M159" s="474">
        <f t="shared" si="7"/>
        <v>0.28072151442406873</v>
      </c>
      <c r="O159" s="77"/>
      <c r="P159" s="77"/>
      <c r="Q159" s="78"/>
      <c r="R159" s="77"/>
      <c r="S159" s="77"/>
    </row>
    <row r="160" spans="1:19" s="73" customFormat="1" ht="12.75">
      <c r="A160" s="66"/>
      <c r="B160" s="77"/>
      <c r="D160" s="42" t="str">
        <f t="shared" si="5"/>
        <v>D18</v>
      </c>
      <c r="E160" s="42" t="str">
        <f t="shared" si="4"/>
        <v>Glodeni</v>
      </c>
      <c r="F160" s="564" t="s">
        <v>632</v>
      </c>
      <c r="G160" s="479">
        <f t="shared" si="8"/>
        <v>17769</v>
      </c>
      <c r="H160" s="479">
        <f t="shared" si="8"/>
        <v>18055</v>
      </c>
      <c r="I160" s="479">
        <f t="shared" si="8"/>
        <v>18285</v>
      </c>
      <c r="J160" s="479">
        <f t="shared" si="8"/>
        <v>18517.936973851094</v>
      </c>
      <c r="K160" s="479">
        <f t="shared" si="8"/>
        <v>18753.848531132953</v>
      </c>
      <c r="L160" s="76"/>
      <c r="M160" s="474">
        <f t="shared" si="7"/>
        <v>0.2995822449062772</v>
      </c>
      <c r="O160" s="77"/>
      <c r="P160" s="77"/>
      <c r="Q160" s="78"/>
      <c r="R160" s="77"/>
      <c r="S160" s="77"/>
    </row>
    <row r="161" spans="1:19" s="73" customFormat="1" ht="12.75">
      <c r="A161" s="66"/>
      <c r="B161" s="77"/>
      <c r="D161" s="42" t="str">
        <f t="shared" si="5"/>
        <v>D19</v>
      </c>
      <c r="E161" s="42" t="str">
        <f t="shared" si="4"/>
        <v>Hinceşti</v>
      </c>
      <c r="F161" s="564" t="s">
        <v>632</v>
      </c>
      <c r="G161" s="479">
        <f t="shared" si="8"/>
        <v>29269</v>
      </c>
      <c r="H161" s="479">
        <f t="shared" si="8"/>
        <v>30475</v>
      </c>
      <c r="I161" s="479">
        <f t="shared" si="8"/>
        <v>31252</v>
      </c>
      <c r="J161" s="479">
        <f t="shared" si="8"/>
        <v>32050.550655736704</v>
      </c>
      <c r="K161" s="479">
        <f t="shared" si="8"/>
        <v>32871.240065697595</v>
      </c>
      <c r="L161" s="76"/>
      <c r="M161" s="474">
        <f t="shared" si="7"/>
        <v>0.26659562097078343</v>
      </c>
      <c r="O161" s="77"/>
      <c r="P161" s="77"/>
      <c r="Q161" s="78"/>
      <c r="R161" s="77"/>
      <c r="S161" s="77"/>
    </row>
    <row r="162" spans="1:19" s="73" customFormat="1" ht="12.75">
      <c r="A162" s="66"/>
      <c r="B162" s="77"/>
      <c r="D162" s="42" t="str">
        <f t="shared" si="5"/>
        <v>D20</v>
      </c>
      <c r="E162" s="42" t="str">
        <f t="shared" si="4"/>
        <v>Ialoveni</v>
      </c>
      <c r="F162" s="564" t="s">
        <v>632</v>
      </c>
      <c r="G162" s="479">
        <f t="shared" si="8"/>
        <v>27575</v>
      </c>
      <c r="H162" s="479">
        <f t="shared" si="8"/>
        <v>27463</v>
      </c>
      <c r="I162" s="479">
        <f t="shared" si="8"/>
        <v>28203</v>
      </c>
      <c r="J162" s="479">
        <f t="shared" si="8"/>
        <v>28964.528091947985</v>
      </c>
      <c r="K162" s="479">
        <f t="shared" si="8"/>
        <v>29748.297722331146</v>
      </c>
      <c r="L162" s="76"/>
      <c r="M162" s="474">
        <f t="shared" si="7"/>
        <v>0.30293582201966546</v>
      </c>
      <c r="O162" s="77"/>
      <c r="P162" s="77"/>
      <c r="Q162" s="78"/>
      <c r="R162" s="77"/>
      <c r="S162" s="77"/>
    </row>
    <row r="163" spans="1:19" s="73" customFormat="1" ht="12.75">
      <c r="A163" s="66"/>
      <c r="B163" s="77"/>
      <c r="D163" s="42" t="str">
        <f t="shared" si="5"/>
        <v>D21</v>
      </c>
      <c r="E163" s="42" t="str">
        <f t="shared" si="4"/>
        <v>Leova</v>
      </c>
      <c r="F163" s="564" t="s">
        <v>632</v>
      </c>
      <c r="G163" s="479">
        <f aca="true" t="shared" si="9" ref="G163:K172">G81+G122</f>
        <v>12632</v>
      </c>
      <c r="H163" s="479">
        <f t="shared" si="9"/>
        <v>13968</v>
      </c>
      <c r="I163" s="479">
        <f t="shared" si="9"/>
        <v>14170</v>
      </c>
      <c r="J163" s="479">
        <f t="shared" si="9"/>
        <v>14375.081457331977</v>
      </c>
      <c r="K163" s="479">
        <f t="shared" si="9"/>
        <v>14583.291578085951</v>
      </c>
      <c r="L163" s="76"/>
      <c r="M163" s="474">
        <f t="shared" si="7"/>
        <v>0.2705619958828562</v>
      </c>
      <c r="O163" s="77"/>
      <c r="P163" s="77"/>
      <c r="Q163" s="78"/>
      <c r="R163" s="77"/>
      <c r="S163" s="77"/>
    </row>
    <row r="164" spans="1:19" s="73" customFormat="1" ht="12.75">
      <c r="A164" s="66"/>
      <c r="B164" s="77"/>
      <c r="D164" s="42" t="str">
        <f t="shared" si="5"/>
        <v>D22</v>
      </c>
      <c r="E164" s="42" t="str">
        <f t="shared" si="4"/>
        <v>Nisporeni</v>
      </c>
      <c r="F164" s="564" t="s">
        <v>632</v>
      </c>
      <c r="G164" s="479">
        <f t="shared" si="9"/>
        <v>16917</v>
      </c>
      <c r="H164" s="479">
        <f t="shared" si="9"/>
        <v>16709</v>
      </c>
      <c r="I164" s="479">
        <f t="shared" si="9"/>
        <v>17313</v>
      </c>
      <c r="J164" s="479">
        <f t="shared" si="9"/>
        <v>17938.839282954723</v>
      </c>
      <c r="K164" s="479">
        <f t="shared" si="9"/>
        <v>18587.30770363417</v>
      </c>
      <c r="L164" s="76"/>
      <c r="M164" s="474">
        <f t="shared" si="7"/>
        <v>0.2757760786889343</v>
      </c>
      <c r="O164" s="77"/>
      <c r="P164" s="77"/>
      <c r="Q164" s="78"/>
      <c r="R164" s="77"/>
      <c r="S164" s="77"/>
    </row>
    <row r="165" spans="1:19" s="73" customFormat="1" ht="12.75">
      <c r="A165" s="66"/>
      <c r="B165" s="77"/>
      <c r="D165" s="42" t="str">
        <f t="shared" si="5"/>
        <v>D23</v>
      </c>
      <c r="E165" s="42" t="str">
        <f t="shared" si="4"/>
        <v>Ocniţa</v>
      </c>
      <c r="F165" s="564" t="s">
        <v>632</v>
      </c>
      <c r="G165" s="479">
        <f t="shared" si="9"/>
        <v>14924</v>
      </c>
      <c r="H165" s="479">
        <f t="shared" si="9"/>
        <v>15566</v>
      </c>
      <c r="I165" s="479">
        <f t="shared" si="9"/>
        <v>15805</v>
      </c>
      <c r="J165" s="479">
        <f t="shared" si="9"/>
        <v>16047.84058353411</v>
      </c>
      <c r="K165" s="479">
        <f t="shared" si="9"/>
        <v>16294.583992554724</v>
      </c>
      <c r="L165" s="76"/>
      <c r="M165" s="474">
        <f t="shared" si="7"/>
        <v>0.2889110636977788</v>
      </c>
      <c r="O165" s="77"/>
      <c r="P165" s="77"/>
      <c r="Q165" s="78"/>
      <c r="R165" s="77"/>
      <c r="S165" s="77"/>
    </row>
    <row r="166" spans="1:19" s="73" customFormat="1" ht="12.75">
      <c r="A166" s="66"/>
      <c r="B166" s="77"/>
      <c r="D166" s="42" t="str">
        <f t="shared" si="5"/>
        <v>D24</v>
      </c>
      <c r="E166" s="42" t="str">
        <f t="shared" si="4"/>
        <v>Orhei</v>
      </c>
      <c r="F166" s="564" t="s">
        <v>632</v>
      </c>
      <c r="G166" s="479">
        <f t="shared" si="9"/>
        <v>31881</v>
      </c>
      <c r="H166" s="479">
        <f t="shared" si="9"/>
        <v>32916</v>
      </c>
      <c r="I166" s="479">
        <f t="shared" si="9"/>
        <v>33582</v>
      </c>
      <c r="J166" s="479">
        <f t="shared" si="9"/>
        <v>34262.31584378063</v>
      </c>
      <c r="K166" s="479">
        <f t="shared" si="9"/>
        <v>34957.25745210083</v>
      </c>
      <c r="L166" s="76"/>
      <c r="M166" s="474">
        <f t="shared" si="7"/>
        <v>0.27810069572077034</v>
      </c>
      <c r="O166" s="77"/>
      <c r="P166" s="77"/>
      <c r="Q166" s="78"/>
      <c r="R166" s="77"/>
      <c r="S166" s="77"/>
    </row>
    <row r="167" spans="1:19" s="73" customFormat="1" ht="12.75">
      <c r="A167" s="66"/>
      <c r="B167" s="77"/>
      <c r="D167" s="42" t="str">
        <f t="shared" si="5"/>
        <v>D25</v>
      </c>
      <c r="E167" s="42" t="str">
        <f t="shared" si="4"/>
        <v>Rezina</v>
      </c>
      <c r="F167" s="564" t="s">
        <v>632</v>
      </c>
      <c r="G167" s="479">
        <f t="shared" si="9"/>
        <v>13146</v>
      </c>
      <c r="H167" s="479">
        <f t="shared" si="9"/>
        <v>13819</v>
      </c>
      <c r="I167" s="479">
        <f t="shared" si="9"/>
        <v>14175</v>
      </c>
      <c r="J167" s="479">
        <f t="shared" si="9"/>
        <v>14540.34561197897</v>
      </c>
      <c r="K167" s="479">
        <f t="shared" si="9"/>
        <v>14915.284534438531</v>
      </c>
      <c r="L167" s="76"/>
      <c r="M167" s="474">
        <f t="shared" si="7"/>
        <v>0.2808904808745486</v>
      </c>
      <c r="O167" s="77"/>
      <c r="P167" s="77"/>
      <c r="Q167" s="78"/>
      <c r="R167" s="77"/>
      <c r="S167" s="77"/>
    </row>
    <row r="168" spans="1:19" s="73" customFormat="1" ht="12.75">
      <c r="A168" s="66"/>
      <c r="B168" s="77"/>
      <c r="D168" s="42" t="str">
        <f t="shared" si="5"/>
        <v>D26</v>
      </c>
      <c r="E168" s="42" t="str">
        <f t="shared" si="4"/>
        <v>Rîşcani</v>
      </c>
      <c r="F168" s="564" t="s">
        <v>632</v>
      </c>
      <c r="G168" s="479">
        <f t="shared" si="9"/>
        <v>19429</v>
      </c>
      <c r="H168" s="479">
        <f t="shared" si="9"/>
        <v>20052</v>
      </c>
      <c r="I168" s="479">
        <f t="shared" si="9"/>
        <v>20426</v>
      </c>
      <c r="J168" s="479">
        <f t="shared" si="9"/>
        <v>20807.026257303613</v>
      </c>
      <c r="K168" s="479">
        <f t="shared" si="9"/>
        <v>21195.211392364403</v>
      </c>
      <c r="L168" s="76"/>
      <c r="M168" s="474">
        <f t="shared" si="7"/>
        <v>0.2989451536299634</v>
      </c>
      <c r="O168" s="77"/>
      <c r="P168" s="77"/>
      <c r="Q168" s="78"/>
      <c r="R168" s="77"/>
      <c r="S168" s="77"/>
    </row>
    <row r="169" spans="1:19" s="73" customFormat="1" ht="12.75">
      <c r="A169" s="66"/>
      <c r="B169" s="77"/>
      <c r="D169" s="42" t="str">
        <f t="shared" si="5"/>
        <v>D27</v>
      </c>
      <c r="E169" s="42" t="str">
        <f t="shared" si="4"/>
        <v>Sîngerei</v>
      </c>
      <c r="F169" s="564" t="s">
        <v>632</v>
      </c>
      <c r="G169" s="479">
        <f t="shared" si="9"/>
        <v>21981</v>
      </c>
      <c r="H169" s="479">
        <f t="shared" si="9"/>
        <v>23347</v>
      </c>
      <c r="I169" s="479">
        <f t="shared" si="9"/>
        <v>24055</v>
      </c>
      <c r="J169" s="479">
        <f t="shared" si="9"/>
        <v>24784.748189028738</v>
      </c>
      <c r="K169" s="479">
        <f t="shared" si="9"/>
        <v>25536.916909419706</v>
      </c>
      <c r="L169" s="76"/>
      <c r="M169" s="474">
        <f t="shared" si="7"/>
        <v>0.27224858112387745</v>
      </c>
      <c r="O169" s="77"/>
      <c r="P169" s="77"/>
      <c r="Q169" s="78"/>
      <c r="R169" s="77"/>
      <c r="S169" s="77"/>
    </row>
    <row r="170" spans="1:19" s="73" customFormat="1" ht="12.75">
      <c r="A170" s="66"/>
      <c r="B170" s="77"/>
      <c r="D170" s="42" t="str">
        <f t="shared" si="5"/>
        <v>D28</v>
      </c>
      <c r="E170" s="42" t="str">
        <f t="shared" si="4"/>
        <v>Soroca</v>
      </c>
      <c r="F170" s="564" t="s">
        <v>632</v>
      </c>
      <c r="G170" s="479">
        <f t="shared" si="9"/>
        <v>28940</v>
      </c>
      <c r="H170" s="479">
        <f t="shared" si="9"/>
        <v>29657</v>
      </c>
      <c r="I170" s="479">
        <f t="shared" si="9"/>
        <v>30035</v>
      </c>
      <c r="J170" s="479">
        <f t="shared" si="9"/>
        <v>30604.738250356004</v>
      </c>
      <c r="K170" s="479">
        <f t="shared" si="9"/>
        <v>31428.158720060543</v>
      </c>
      <c r="L170" s="76"/>
      <c r="M170" s="474">
        <f t="shared" si="7"/>
        <v>0.3108621040559895</v>
      </c>
      <c r="O170" s="77"/>
      <c r="P170" s="77"/>
      <c r="Q170" s="78"/>
      <c r="R170" s="77"/>
      <c r="S170" s="77"/>
    </row>
    <row r="171" spans="1:19" s="73" customFormat="1" ht="12.75">
      <c r="A171" s="66"/>
      <c r="B171" s="77"/>
      <c r="D171" s="42" t="str">
        <f t="shared" si="5"/>
        <v>D29</v>
      </c>
      <c r="E171" s="42" t="str">
        <f t="shared" si="4"/>
        <v>Strǎşeni</v>
      </c>
      <c r="F171" s="564" t="s">
        <v>632</v>
      </c>
      <c r="G171" s="479">
        <f t="shared" si="9"/>
        <v>22822</v>
      </c>
      <c r="H171" s="479">
        <f t="shared" si="9"/>
        <v>24299</v>
      </c>
      <c r="I171" s="479">
        <f t="shared" si="9"/>
        <v>24734</v>
      </c>
      <c r="J171" s="479">
        <f t="shared" si="9"/>
        <v>25177.52887988482</v>
      </c>
      <c r="K171" s="479">
        <f t="shared" si="9"/>
        <v>25629.782516620286</v>
      </c>
      <c r="L171" s="76"/>
      <c r="M171" s="474">
        <f t="shared" si="7"/>
        <v>0.28041337545536416</v>
      </c>
      <c r="O171" s="77"/>
      <c r="P171" s="77"/>
      <c r="Q171" s="78"/>
      <c r="R171" s="77"/>
      <c r="S171" s="77"/>
    </row>
    <row r="172" spans="1:19" s="73" customFormat="1" ht="12.75">
      <c r="A172" s="66"/>
      <c r="B172" s="77"/>
      <c r="D172" s="42" t="str">
        <f t="shared" si="5"/>
        <v>D30</v>
      </c>
      <c r="E172" s="42" t="str">
        <f t="shared" si="4"/>
        <v>Şoldăneşti</v>
      </c>
      <c r="F172" s="564" t="s">
        <v>632</v>
      </c>
      <c r="G172" s="479">
        <f t="shared" si="9"/>
        <v>10731</v>
      </c>
      <c r="H172" s="479">
        <f t="shared" si="9"/>
        <v>11168</v>
      </c>
      <c r="I172" s="479">
        <f t="shared" si="9"/>
        <v>11424</v>
      </c>
      <c r="J172" s="479">
        <f t="shared" si="9"/>
        <v>11686.170947195398</v>
      </c>
      <c r="K172" s="479">
        <f t="shared" si="9"/>
        <v>11954.662102706603</v>
      </c>
      <c r="L172" s="76"/>
      <c r="M172" s="474">
        <f t="shared" si="7"/>
        <v>0.272315765437508</v>
      </c>
      <c r="O172" s="77"/>
      <c r="P172" s="77"/>
      <c r="Q172" s="78"/>
      <c r="R172" s="77"/>
      <c r="S172" s="77"/>
    </row>
    <row r="173" spans="1:19" s="73" customFormat="1" ht="12.75">
      <c r="A173" s="66"/>
      <c r="B173" s="77"/>
      <c r="D173" s="42" t="str">
        <f t="shared" si="5"/>
        <v>D31</v>
      </c>
      <c r="E173" s="42" t="str">
        <f t="shared" si="4"/>
        <v>Ştefan Vodă</v>
      </c>
      <c r="F173" s="564" t="s">
        <v>632</v>
      </c>
      <c r="G173" s="479">
        <f aca="true" t="shared" si="10" ref="G173:K177">G91+G132</f>
        <v>18739</v>
      </c>
      <c r="H173" s="479">
        <f t="shared" si="10"/>
        <v>19110</v>
      </c>
      <c r="I173" s="479">
        <f t="shared" si="10"/>
        <v>19579</v>
      </c>
      <c r="J173" s="479">
        <f t="shared" si="10"/>
        <v>20059.871199143723</v>
      </c>
      <c r="K173" s="479">
        <f t="shared" si="10"/>
        <v>20552.9163403803</v>
      </c>
      <c r="L173" s="76"/>
      <c r="M173" s="474">
        <f t="shared" si="7"/>
        <v>0.28348850124662484</v>
      </c>
      <c r="O173" s="77"/>
      <c r="P173" s="77"/>
      <c r="Q173" s="78"/>
      <c r="R173" s="77"/>
      <c r="S173" s="77"/>
    </row>
    <row r="174" spans="1:19" s="73" customFormat="1" ht="12.75">
      <c r="A174" s="66"/>
      <c r="B174" s="77"/>
      <c r="D174" s="42" t="str">
        <f t="shared" si="5"/>
        <v>D32</v>
      </c>
      <c r="E174" s="42" t="str">
        <f t="shared" si="4"/>
        <v>Taraclia</v>
      </c>
      <c r="F174" s="564" t="s">
        <v>632</v>
      </c>
      <c r="G174" s="479">
        <f t="shared" si="10"/>
        <v>12558</v>
      </c>
      <c r="H174" s="479">
        <f t="shared" si="10"/>
        <v>12351</v>
      </c>
      <c r="I174" s="479">
        <f t="shared" si="10"/>
        <v>12084</v>
      </c>
      <c r="J174" s="479">
        <f t="shared" si="10"/>
        <v>11823.159865203295</v>
      </c>
      <c r="K174" s="479">
        <f t="shared" si="10"/>
        <v>11568.323451149314</v>
      </c>
      <c r="L174" s="76"/>
      <c r="M174" s="474">
        <f t="shared" si="7"/>
        <v>0.2599623247449284</v>
      </c>
      <c r="O174" s="77"/>
      <c r="P174" s="77"/>
      <c r="Q174" s="78"/>
      <c r="R174" s="77"/>
      <c r="S174" s="77"/>
    </row>
    <row r="175" spans="1:19" s="73" customFormat="1" ht="12.75">
      <c r="A175" s="66"/>
      <c r="B175" s="77"/>
      <c r="D175" s="42" t="str">
        <f t="shared" si="5"/>
        <v>D33</v>
      </c>
      <c r="E175" s="42" t="str">
        <f t="shared" si="4"/>
        <v>Teleneşti</v>
      </c>
      <c r="F175" s="564" t="s">
        <v>632</v>
      </c>
      <c r="G175" s="479">
        <f t="shared" si="10"/>
        <v>17885</v>
      </c>
      <c r="H175" s="479">
        <f t="shared" si="10"/>
        <v>18403</v>
      </c>
      <c r="I175" s="479">
        <f t="shared" si="10"/>
        <v>18910</v>
      </c>
      <c r="J175" s="479">
        <f t="shared" si="10"/>
        <v>19431.485406444637</v>
      </c>
      <c r="K175" s="479">
        <f t="shared" si="10"/>
        <v>19967.8943870298</v>
      </c>
      <c r="L175" s="76"/>
      <c r="M175" s="474">
        <f t="shared" si="7"/>
        <v>0.2665940505611455</v>
      </c>
      <c r="O175" s="77"/>
      <c r="P175" s="77"/>
      <c r="Q175" s="78"/>
      <c r="R175" s="77"/>
      <c r="S175" s="77"/>
    </row>
    <row r="176" spans="1:19" s="73" customFormat="1" ht="12.75">
      <c r="A176" s="66"/>
      <c r="B176" s="77"/>
      <c r="D176" s="42" t="str">
        <f t="shared" si="5"/>
        <v>D34</v>
      </c>
      <c r="E176" s="42" t="str">
        <f t="shared" si="4"/>
        <v>Ungheni</v>
      </c>
      <c r="F176" s="564" t="s">
        <v>632</v>
      </c>
      <c r="G176" s="479">
        <f t="shared" si="10"/>
        <v>28130</v>
      </c>
      <c r="H176" s="479">
        <f t="shared" si="10"/>
        <v>29678</v>
      </c>
      <c r="I176" s="479">
        <f t="shared" si="10"/>
        <v>30969</v>
      </c>
      <c r="J176" s="479">
        <f t="shared" si="10"/>
        <v>32321.59641115601</v>
      </c>
      <c r="K176" s="479">
        <f t="shared" si="10"/>
        <v>33739.202684036965</v>
      </c>
      <c r="L176" s="76"/>
      <c r="M176" s="474">
        <f t="shared" si="7"/>
        <v>0.28787715600714137</v>
      </c>
      <c r="O176" s="77"/>
      <c r="P176" s="77"/>
      <c r="Q176" s="78"/>
      <c r="R176" s="77"/>
      <c r="S176" s="77"/>
    </row>
    <row r="177" spans="1:19" s="73" customFormat="1" ht="12.75">
      <c r="A177" s="66"/>
      <c r="B177" s="77"/>
      <c r="D177" s="42" t="str">
        <f t="shared" si="5"/>
        <v>D35</v>
      </c>
      <c r="E177" s="42" t="str">
        <f t="shared" si="4"/>
        <v>Găgăuzia</v>
      </c>
      <c r="F177" s="564" t="s">
        <v>632</v>
      </c>
      <c r="G177" s="479">
        <f t="shared" si="10"/>
        <v>43215</v>
      </c>
      <c r="H177" s="479">
        <f t="shared" si="10"/>
        <v>43796</v>
      </c>
      <c r="I177" s="479">
        <f t="shared" si="10"/>
        <v>45145</v>
      </c>
      <c r="J177" s="479">
        <f t="shared" si="10"/>
        <v>46622.46118373785</v>
      </c>
      <c r="K177" s="479">
        <f t="shared" si="10"/>
        <v>48226.60564693227</v>
      </c>
      <c r="L177" s="76"/>
      <c r="M177" s="474">
        <f t="shared" si="7"/>
        <v>0.3016047882860055</v>
      </c>
      <c r="O177" s="77"/>
      <c r="P177" s="77"/>
      <c r="Q177" s="78"/>
      <c r="R177" s="77"/>
      <c r="S177" s="77"/>
    </row>
    <row r="178" spans="1:19" s="73" customFormat="1" ht="12.75">
      <c r="A178" s="66"/>
      <c r="B178" s="77"/>
      <c r="D178" s="490" t="s">
        <v>635</v>
      </c>
      <c r="E178" s="490"/>
      <c r="F178" s="491"/>
      <c r="G178" s="477">
        <f>SUM(G143:G177)</f>
        <v>1056850</v>
      </c>
      <c r="H178" s="477">
        <f>SUM(H143:H177)</f>
        <v>1088162</v>
      </c>
      <c r="I178" s="477">
        <f>SUM(I143:I177)</f>
        <v>1110298</v>
      </c>
      <c r="J178" s="477">
        <f>SUM(J143:J177)</f>
        <v>1133586.333549325</v>
      </c>
      <c r="K178" s="477">
        <f>SUM(K143:K177)</f>
        <v>1158024.2804381044</v>
      </c>
      <c r="L178" s="76"/>
      <c r="M178" s="478">
        <f t="shared" si="7"/>
        <v>0.3246038627717181</v>
      </c>
      <c r="O178" s="77"/>
      <c r="P178" s="77"/>
      <c r="Q178" s="78"/>
      <c r="R178" s="77"/>
      <c r="S178" s="77"/>
    </row>
    <row r="179" spans="1:19" s="73" customFormat="1" ht="12.75">
      <c r="A179" s="66"/>
      <c r="B179" s="77"/>
      <c r="D179" s="123"/>
      <c r="E179" s="1"/>
      <c r="F179" s="1"/>
      <c r="G179" s="1"/>
      <c r="H179" s="471"/>
      <c r="I179" s="472"/>
      <c r="J179" s="473"/>
      <c r="K179" s="473"/>
      <c r="L179" s="76"/>
      <c r="M179" s="76"/>
      <c r="O179" s="77"/>
      <c r="P179" s="77"/>
      <c r="Q179" s="78"/>
      <c r="R179" s="77"/>
      <c r="S179" s="77"/>
    </row>
    <row r="180" spans="1:12" ht="12.75">
      <c r="A180" s="66"/>
      <c r="L180" s="123"/>
    </row>
    <row r="181" spans="1:12" ht="12.75">
      <c r="A181" s="66"/>
      <c r="L181" s="123"/>
    </row>
    <row r="182" spans="1:12" s="104" customFormat="1" ht="15.75">
      <c r="A182" s="66"/>
      <c r="B182" s="68">
        <f>B56+0.01</f>
        <v>1.03</v>
      </c>
      <c r="C182" s="67"/>
      <c r="D182" s="68" t="s">
        <v>197</v>
      </c>
      <c r="F182" s="74"/>
      <c r="G182" s="300"/>
      <c r="H182" s="300"/>
      <c r="I182" s="301"/>
      <c r="J182" s="301"/>
      <c r="K182" s="301"/>
      <c r="L182" s="302"/>
    </row>
    <row r="183" spans="1:12" ht="18" customHeight="1">
      <c r="A183" s="66"/>
      <c r="G183" s="83"/>
      <c r="H183" s="83"/>
      <c r="I183" s="83"/>
      <c r="J183" s="83"/>
      <c r="K183" s="83"/>
      <c r="L183" s="123"/>
    </row>
    <row r="184" spans="1:12" ht="12.75">
      <c r="A184" s="66"/>
      <c r="D184" s="335" t="s">
        <v>934</v>
      </c>
      <c r="G184" s="83"/>
      <c r="H184" s="83"/>
      <c r="I184" s="83"/>
      <c r="J184" s="83"/>
      <c r="K184" s="83"/>
      <c r="L184" s="123"/>
    </row>
    <row r="185" spans="1:12" ht="12.75">
      <c r="A185" s="66"/>
      <c r="E185" s="100"/>
      <c r="F185" s="298"/>
      <c r="G185" s="19">
        <f>G142</f>
        <v>2008</v>
      </c>
      <c r="H185" s="19">
        <f>G185+1</f>
        <v>2009</v>
      </c>
      <c r="I185" s="19">
        <f>H185+1</f>
        <v>2010</v>
      </c>
      <c r="J185" s="19">
        <f>I185+1</f>
        <v>2011</v>
      </c>
      <c r="K185" s="19">
        <f>J185+1</f>
        <v>2012</v>
      </c>
      <c r="L185" s="123"/>
    </row>
    <row r="186" spans="1:12" ht="12.75">
      <c r="A186" s="66"/>
      <c r="E186" s="540" t="s">
        <v>97</v>
      </c>
      <c r="F186" s="299"/>
      <c r="G186" s="567">
        <f>'B. Dashboard'!F14</f>
        <v>0.98</v>
      </c>
      <c r="H186" s="567">
        <f>G186+($K186-$G186)/4</f>
        <v>0.9724999999999999</v>
      </c>
      <c r="I186" s="567">
        <f>H186+($K186-$G186)/4</f>
        <v>0.9649999999999999</v>
      </c>
      <c r="J186" s="567">
        <f>I186+($K186-$G186)/4</f>
        <v>0.9574999999999998</v>
      </c>
      <c r="K186" s="567">
        <f>'B. Dashboard'!F15</f>
        <v>0.95</v>
      </c>
      <c r="L186" s="123"/>
    </row>
    <row r="187" spans="1:12" ht="12.75">
      <c r="A187" s="66"/>
      <c r="E187" s="540" t="s">
        <v>192</v>
      </c>
      <c r="F187" s="299"/>
      <c r="G187" s="321">
        <f>1-G186</f>
        <v>0.020000000000000018</v>
      </c>
      <c r="H187" s="321">
        <f>1-H186</f>
        <v>0.02750000000000008</v>
      </c>
      <c r="I187" s="321">
        <f>1-I186</f>
        <v>0.03500000000000014</v>
      </c>
      <c r="J187" s="321">
        <f>1-J186</f>
        <v>0.042500000000000204</v>
      </c>
      <c r="K187" s="321">
        <f>1-K186</f>
        <v>0.050000000000000044</v>
      </c>
      <c r="L187" s="123"/>
    </row>
    <row r="188" spans="1:12" ht="12.75">
      <c r="A188" s="66"/>
      <c r="E188" s="476" t="s">
        <v>650</v>
      </c>
      <c r="F188" s="476"/>
      <c r="G188" s="478">
        <f>SUM(G186:G187)</f>
        <v>1</v>
      </c>
      <c r="H188" s="478">
        <f>SUM(H186:H187)</f>
        <v>1</v>
      </c>
      <c r="I188" s="478">
        <f>SUM(I186:I187)</f>
        <v>1</v>
      </c>
      <c r="J188" s="478">
        <f>SUM(J186:J187)</f>
        <v>1</v>
      </c>
      <c r="K188" s="478">
        <f>SUM(K186:K187)</f>
        <v>1</v>
      </c>
      <c r="L188" s="123"/>
    </row>
    <row r="189" spans="1:12" ht="12.75">
      <c r="A189" s="66"/>
      <c r="G189" s="83"/>
      <c r="H189" s="83"/>
      <c r="I189" s="83"/>
      <c r="J189" s="83"/>
      <c r="K189" s="83"/>
      <c r="L189" s="123"/>
    </row>
    <row r="190" spans="1:12" ht="12.75">
      <c r="A190" s="66"/>
      <c r="D190" s="335" t="s">
        <v>697</v>
      </c>
      <c r="G190" s="83"/>
      <c r="H190" s="83"/>
      <c r="I190" s="83"/>
      <c r="J190" s="83"/>
      <c r="K190" s="83"/>
      <c r="L190" s="123"/>
    </row>
    <row r="191" spans="1:12" ht="12.75">
      <c r="A191" s="66"/>
      <c r="E191" s="100"/>
      <c r="F191" s="298"/>
      <c r="G191" s="19">
        <f>G185</f>
        <v>2008</v>
      </c>
      <c r="H191" s="19">
        <f>G191+1</f>
        <v>2009</v>
      </c>
      <c r="I191" s="19">
        <f>H191+1</f>
        <v>2010</v>
      </c>
      <c r="J191" s="19">
        <f>I191+1</f>
        <v>2011</v>
      </c>
      <c r="K191" s="19">
        <f>J191+1</f>
        <v>2012</v>
      </c>
      <c r="L191" s="123"/>
    </row>
    <row r="192" spans="1:12" ht="12.75">
      <c r="A192" s="66"/>
      <c r="E192" s="540" t="s">
        <v>97</v>
      </c>
      <c r="F192" s="299"/>
      <c r="G192" s="479">
        <f>G178</f>
        <v>1056850</v>
      </c>
      <c r="H192" s="479">
        <f>H178</f>
        <v>1088162</v>
      </c>
      <c r="I192" s="479">
        <f>I178</f>
        <v>1110298</v>
      </c>
      <c r="J192" s="479">
        <f>J178</f>
        <v>1133586.333549325</v>
      </c>
      <c r="K192" s="479">
        <f>K178</f>
        <v>1158024.2804381044</v>
      </c>
      <c r="L192" s="123"/>
    </row>
    <row r="193" spans="1:12" ht="12.75">
      <c r="A193" s="66"/>
      <c r="E193" s="540" t="s">
        <v>192</v>
      </c>
      <c r="F193" s="299"/>
      <c r="G193" s="479">
        <f>G192/G186*G187</f>
        <v>21568.367346938794</v>
      </c>
      <c r="H193" s="479">
        <f>H192/H186*H187</f>
        <v>30770.64781491012</v>
      </c>
      <c r="I193" s="479">
        <f>I192/I186*I187</f>
        <v>40269.87564766856</v>
      </c>
      <c r="J193" s="479">
        <f>J192/J186*J187</f>
        <v>50315.84248130188</v>
      </c>
      <c r="K193" s="479">
        <f>K192/K186*K187</f>
        <v>60948.64633884766</v>
      </c>
      <c r="L193" s="123"/>
    </row>
    <row r="194" spans="1:12" ht="12.75">
      <c r="A194" s="66"/>
      <c r="E194" s="565" t="s">
        <v>191</v>
      </c>
      <c r="F194" s="476"/>
      <c r="G194" s="566">
        <f>SUM(G192:G193)</f>
        <v>1078418.3673469387</v>
      </c>
      <c r="H194" s="566">
        <f>SUM(H192:H193)</f>
        <v>1118932.6478149102</v>
      </c>
      <c r="I194" s="566">
        <f>SUM(I192:I193)</f>
        <v>1150567.8756476685</v>
      </c>
      <c r="J194" s="566">
        <f>SUM(J192:J193)</f>
        <v>1183902.1760306268</v>
      </c>
      <c r="K194" s="566">
        <f>SUM(K192:K193)</f>
        <v>1218972.926776952</v>
      </c>
      <c r="L194" s="123"/>
    </row>
    <row r="195" spans="1:12" ht="12.75">
      <c r="A195" s="66"/>
      <c r="G195" s="83"/>
      <c r="H195" s="83"/>
      <c r="I195" s="83"/>
      <c r="J195" s="83"/>
      <c r="K195" s="83"/>
      <c r="L195" s="123"/>
    </row>
    <row r="196" spans="1:12" ht="12.75">
      <c r="A196" s="66"/>
      <c r="G196" s="83"/>
      <c r="H196" s="83"/>
      <c r="I196" s="83"/>
      <c r="J196" s="83"/>
      <c r="K196" s="83"/>
      <c r="L196" s="123"/>
    </row>
    <row r="197" spans="1:12" ht="12.75">
      <c r="A197" s="66"/>
      <c r="D197" s="242" t="s">
        <v>935</v>
      </c>
      <c r="G197" s="83"/>
      <c r="H197" s="83"/>
      <c r="I197" s="83"/>
      <c r="J197" s="83"/>
      <c r="K197" s="83"/>
      <c r="L197" s="123"/>
    </row>
    <row r="198" spans="1:12" ht="12.75">
      <c r="A198" s="66"/>
      <c r="E198" s="100"/>
      <c r="F198" s="298" t="s">
        <v>652</v>
      </c>
      <c r="G198" s="19">
        <f>'C. Masterfiles'!E99</f>
        <v>2008</v>
      </c>
      <c r="H198" s="19">
        <f>'C. Masterfiles'!F99</f>
        <v>2009</v>
      </c>
      <c r="I198" s="19">
        <f>'C. Masterfiles'!G99</f>
        <v>2010</v>
      </c>
      <c r="J198" s="19">
        <f>'C. Masterfiles'!H99</f>
        <v>2011</v>
      </c>
      <c r="K198" s="19">
        <f>'C. Masterfiles'!I99</f>
        <v>2012</v>
      </c>
      <c r="L198" s="123"/>
    </row>
    <row r="199" spans="1:12" s="88" customFormat="1" ht="12.75">
      <c r="A199" s="66"/>
      <c r="B199" s="85"/>
      <c r="E199" s="571" t="s">
        <v>196</v>
      </c>
      <c r="F199" s="87" t="s">
        <v>601</v>
      </c>
      <c r="G199" s="421">
        <f>'B. Dashboard'!F39</f>
        <v>0.98</v>
      </c>
      <c r="H199" s="421">
        <f>G199+($K199-$G199)/4</f>
        <v>0.9724999999999999</v>
      </c>
      <c r="I199" s="421">
        <f>H199+($K199-$G199)/4</f>
        <v>0.9649999999999999</v>
      </c>
      <c r="J199" s="421">
        <f>I199+($K199-$G199)/4</f>
        <v>0.9574999999999998</v>
      </c>
      <c r="K199" s="421">
        <f>'B. Dashboard'!F40</f>
        <v>0.95</v>
      </c>
      <c r="L199" s="242"/>
    </row>
    <row r="200" spans="1:12" s="88" customFormat="1" ht="12.75">
      <c r="A200" s="66"/>
      <c r="B200" s="85"/>
      <c r="E200" s="569" t="s">
        <v>697</v>
      </c>
      <c r="F200" s="570" t="s">
        <v>195</v>
      </c>
      <c r="G200" s="303">
        <f>G194*G199</f>
        <v>1056850</v>
      </c>
      <c r="H200" s="303">
        <f>H194*H199</f>
        <v>1088162</v>
      </c>
      <c r="I200" s="303">
        <f>I194*I199</f>
        <v>1110298</v>
      </c>
      <c r="J200" s="303">
        <f>J194*J199</f>
        <v>1133586.333549325</v>
      </c>
      <c r="K200" s="303">
        <f>K194*K199</f>
        <v>1158024.2804381044</v>
      </c>
      <c r="L200" s="95" t="s">
        <v>287</v>
      </c>
    </row>
    <row r="201" spans="1:11" ht="12.75">
      <c r="A201" s="66"/>
      <c r="E201" s="86" t="s">
        <v>584</v>
      </c>
      <c r="F201" s="87" t="s">
        <v>601</v>
      </c>
      <c r="G201" s="480"/>
      <c r="H201" s="480">
        <f>H200/G200-1</f>
        <v>0.029627667124000556</v>
      </c>
      <c r="I201" s="480">
        <f>I200/H200-1</f>
        <v>0.02034255928804729</v>
      </c>
      <c r="J201" s="480">
        <f>J200/I200-1</f>
        <v>0.02097484958932183</v>
      </c>
      <c r="K201" s="480">
        <f>K200/J200-1</f>
        <v>0.021558081784792682</v>
      </c>
    </row>
    <row r="202" ht="12.75">
      <c r="A202" s="66"/>
    </row>
    <row r="203" ht="12.75">
      <c r="A203" s="66"/>
    </row>
    <row r="204" ht="12.75">
      <c r="A204" s="66"/>
    </row>
  </sheetData>
  <sheetProtection/>
  <mergeCells count="3">
    <mergeCell ref="F15:G15"/>
    <mergeCell ref="M141:M142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Q153"/>
  <sheetViews>
    <sheetView zoomScalePageLayoutView="0" workbookViewId="0" topLeftCell="A1">
      <selection activeCell="A133" sqref="A133"/>
    </sheetView>
  </sheetViews>
  <sheetFormatPr defaultColWidth="9.140625" defaultRowHeight="12.75"/>
  <cols>
    <col min="1" max="1" width="4.7109375" style="1" customWidth="1"/>
    <col min="2" max="2" width="15.7109375" style="1" customWidth="1"/>
    <col min="3" max="3" width="10.57421875" style="123" customWidth="1"/>
    <col min="4" max="4" width="63.28125" style="1" customWidth="1"/>
    <col min="5" max="5" width="12.57421875" style="1" customWidth="1"/>
    <col min="6" max="10" width="13.421875" style="1" customWidth="1"/>
    <col min="11" max="16384" width="9.140625" style="1" customWidth="1"/>
  </cols>
  <sheetData>
    <row r="1" spans="1:2" ht="26.25">
      <c r="A1" s="58">
        <v>2</v>
      </c>
      <c r="B1" s="58" t="s">
        <v>685</v>
      </c>
    </row>
    <row r="2" spans="1:2" ht="12.75" customHeight="1">
      <c r="A2" s="58"/>
      <c r="B2" s="58"/>
    </row>
    <row r="3" spans="2:11" ht="12.75">
      <c r="B3" s="598" t="s">
        <v>247</v>
      </c>
      <c r="C3" s="257" t="s">
        <v>266</v>
      </c>
      <c r="D3" s="257"/>
      <c r="E3" s="257"/>
      <c r="F3" s="257"/>
      <c r="G3" s="257"/>
      <c r="H3" s="123"/>
      <c r="I3" s="123"/>
      <c r="J3" s="123"/>
      <c r="K3" s="123"/>
    </row>
    <row r="4" spans="2:11" ht="12.75">
      <c r="B4" s="599" t="s">
        <v>249</v>
      </c>
      <c r="C4" s="244" t="s">
        <v>267</v>
      </c>
      <c r="D4" s="244"/>
      <c r="E4" s="244"/>
      <c r="F4" s="244"/>
      <c r="G4" s="244"/>
      <c r="H4" s="123"/>
      <c r="I4" s="123"/>
      <c r="J4" s="123"/>
      <c r="K4" s="123"/>
    </row>
    <row r="5" spans="2:11" ht="12.75">
      <c r="B5" s="600" t="s">
        <v>251</v>
      </c>
      <c r="C5" s="323" t="s">
        <v>268</v>
      </c>
      <c r="D5" s="323"/>
      <c r="E5" s="323"/>
      <c r="F5" s="323"/>
      <c r="G5" s="323"/>
      <c r="H5" s="123"/>
      <c r="I5" s="123"/>
      <c r="J5" s="123"/>
      <c r="K5" s="123"/>
    </row>
    <row r="6" spans="2:11" ht="12.75">
      <c r="B6" s="601" t="s">
        <v>252</v>
      </c>
      <c r="C6" s="258" t="s">
        <v>269</v>
      </c>
      <c r="D6" s="258"/>
      <c r="E6" s="258"/>
      <c r="F6" s="258"/>
      <c r="G6" s="258"/>
      <c r="H6" s="123"/>
      <c r="I6" s="123"/>
      <c r="J6" s="123"/>
      <c r="K6" s="123"/>
    </row>
    <row r="7" spans="2:11" ht="12.75">
      <c r="B7" s="602" t="s">
        <v>254</v>
      </c>
      <c r="C7" s="259" t="s">
        <v>291</v>
      </c>
      <c r="D7" s="259"/>
      <c r="E7" s="259"/>
      <c r="F7" s="259"/>
      <c r="G7" s="259"/>
      <c r="H7" s="123"/>
      <c r="I7" s="123"/>
      <c r="J7" s="123"/>
      <c r="K7" s="123"/>
    </row>
    <row r="8" ht="12.75">
      <c r="B8" s="54"/>
    </row>
    <row r="9" ht="12.75">
      <c r="B9" s="54"/>
    </row>
    <row r="10" spans="2:4" ht="12.75">
      <c r="B10" s="89"/>
      <c r="C10" s="265"/>
      <c r="D10" s="55"/>
    </row>
    <row r="11" spans="2:4" ht="12.75">
      <c r="B11" s="89"/>
      <c r="C11" s="265"/>
      <c r="D11" s="55"/>
    </row>
    <row r="12" spans="2:10" s="481" customFormat="1" ht="15.75">
      <c r="B12" s="482">
        <f>A1+0.01</f>
        <v>2.01</v>
      </c>
      <c r="C12" s="482" t="s">
        <v>844</v>
      </c>
      <c r="D12" s="483"/>
      <c r="E12" s="483">
        <f aca="true" t="shared" si="0" ref="E12:J12">1+D12</f>
        <v>1</v>
      </c>
      <c r="F12" s="483">
        <f t="shared" si="0"/>
        <v>2</v>
      </c>
      <c r="G12" s="483">
        <f t="shared" si="0"/>
        <v>3</v>
      </c>
      <c r="H12" s="483">
        <f t="shared" si="0"/>
        <v>4</v>
      </c>
      <c r="I12" s="483">
        <f t="shared" si="0"/>
        <v>5</v>
      </c>
      <c r="J12" s="483">
        <f t="shared" si="0"/>
        <v>6</v>
      </c>
    </row>
    <row r="13" spans="2:10" s="97" customFormat="1" ht="12.75">
      <c r="B13" s="89"/>
      <c r="C13" s="89"/>
      <c r="D13" s="98"/>
      <c r="E13" s="98"/>
      <c r="F13" s="98"/>
      <c r="G13" s="98"/>
      <c r="H13" s="98"/>
      <c r="I13" s="98"/>
      <c r="J13" s="98"/>
    </row>
    <row r="14" spans="2:10" s="97" customFormat="1" ht="12.75">
      <c r="B14" s="89"/>
      <c r="C14" s="506" t="s">
        <v>96</v>
      </c>
      <c r="D14" s="98"/>
      <c r="E14" s="98"/>
      <c r="F14" s="98"/>
      <c r="G14" s="98"/>
      <c r="H14" s="98"/>
      <c r="I14" s="98"/>
      <c r="J14" s="98"/>
    </row>
    <row r="15" spans="2:10" s="97" customFormat="1" ht="12.75">
      <c r="B15" s="89"/>
      <c r="C15" s="89"/>
      <c r="D15" s="549" t="s">
        <v>270</v>
      </c>
      <c r="E15" s="98"/>
      <c r="F15" s="98"/>
      <c r="G15" s="98"/>
      <c r="H15" s="98"/>
      <c r="I15" s="98"/>
      <c r="J15" s="98"/>
    </row>
    <row r="16" spans="2:17" ht="12.75">
      <c r="B16" s="54"/>
      <c r="C16" s="120" t="s">
        <v>634</v>
      </c>
      <c r="D16" s="90" t="s">
        <v>686</v>
      </c>
      <c r="E16" s="91" t="s">
        <v>779</v>
      </c>
      <c r="F16" s="92">
        <f>'C. Masterfiles'!E99</f>
        <v>2008</v>
      </c>
      <c r="G16" s="92">
        <f>'C. Masterfiles'!F99</f>
        <v>2009</v>
      </c>
      <c r="H16" s="92">
        <f>'C. Masterfiles'!G99</f>
        <v>2010</v>
      </c>
      <c r="I16" s="92">
        <f>'C. Masterfiles'!H99</f>
        <v>2011</v>
      </c>
      <c r="J16" s="92">
        <f>'C. Masterfiles'!I99</f>
        <v>2012</v>
      </c>
      <c r="M16" s="97"/>
      <c r="N16" s="97"/>
      <c r="O16" s="97"/>
      <c r="P16" s="97"/>
      <c r="Q16" s="97"/>
    </row>
    <row r="17" spans="2:17" ht="12.75">
      <c r="B17" s="54"/>
      <c r="C17" s="306" t="str">
        <f>'C. Masterfiles'!C84</f>
        <v>S01</v>
      </c>
      <c r="D17" s="291" t="str">
        <f>'C. Masterfiles'!D84</f>
        <v>On-net local calls</v>
      </c>
      <c r="E17" s="93" t="str">
        <f>'C. Masterfiles'!E84</f>
        <v>Voice Minutes</v>
      </c>
      <c r="F17" s="458">
        <v>2526.4417200000003</v>
      </c>
      <c r="G17" s="458">
        <v>2476.74807</v>
      </c>
      <c r="H17" s="458">
        <v>2417.76</v>
      </c>
      <c r="I17" s="458">
        <v>2375.0803319999995</v>
      </c>
      <c r="J17" s="458">
        <v>2283.2594726400002</v>
      </c>
      <c r="M17" s="97"/>
      <c r="N17" s="97"/>
      <c r="O17" s="97"/>
      <c r="P17" s="97"/>
      <c r="Q17" s="97"/>
    </row>
    <row r="18" spans="2:17" ht="12.75">
      <c r="B18" s="54"/>
      <c r="C18" s="306" t="str">
        <f>'C. Masterfiles'!C85</f>
        <v>S02</v>
      </c>
      <c r="D18" s="291" t="str">
        <f>'C. Masterfiles'!D85</f>
        <v>On-net national calls</v>
      </c>
      <c r="E18" s="93" t="str">
        <f>'C. Masterfiles'!E85</f>
        <v>Voice Minutes</v>
      </c>
      <c r="F18" s="458">
        <v>392.55357000000004</v>
      </c>
      <c r="G18" s="458">
        <v>348.54358</v>
      </c>
      <c r="H18" s="458">
        <v>323.654712</v>
      </c>
      <c r="I18" s="458">
        <v>295.1475371</v>
      </c>
      <c r="J18" s="458">
        <v>263.39543328</v>
      </c>
      <c r="M18" s="97"/>
      <c r="N18" s="97"/>
      <c r="O18" s="97"/>
      <c r="P18" s="97"/>
      <c r="Q18" s="97"/>
    </row>
    <row r="19" spans="2:17" ht="12.75">
      <c r="B19" s="54"/>
      <c r="C19" s="306" t="str">
        <f>'C. Masterfiles'!C86</f>
        <v>S03</v>
      </c>
      <c r="D19" s="291" t="str">
        <f>'C. Masterfiles'!D86</f>
        <v>Originating calls (local)</v>
      </c>
      <c r="E19" s="93" t="str">
        <f>'C. Masterfiles'!E86</f>
        <v>Voice Minutes</v>
      </c>
      <c r="F19" s="458">
        <v>66.73335</v>
      </c>
      <c r="G19" s="458">
        <v>60.8708024</v>
      </c>
      <c r="H19" s="458">
        <v>59.128385279999996</v>
      </c>
      <c r="I19" s="458">
        <v>58.48436948999999</v>
      </c>
      <c r="J19" s="458">
        <v>58.6374483456</v>
      </c>
      <c r="M19" s="97"/>
      <c r="N19" s="97"/>
      <c r="O19" s="97"/>
      <c r="P19" s="97"/>
      <c r="Q19" s="97"/>
    </row>
    <row r="20" spans="2:17" ht="12.75">
      <c r="B20" s="54"/>
      <c r="C20" s="306" t="str">
        <f>'C. Masterfiles'!C87</f>
        <v>S04</v>
      </c>
      <c r="D20" s="291" t="str">
        <f>'C. Masterfiles'!D87</f>
        <v>Originating calls (national) </v>
      </c>
      <c r="E20" s="93" t="str">
        <f>'C. Masterfiles'!E87</f>
        <v>Voice Minutes</v>
      </c>
      <c r="F20" s="458">
        <v>97.10592</v>
      </c>
      <c r="G20" s="458">
        <v>81.8976576</v>
      </c>
      <c r="H20" s="458">
        <v>71.21206272</v>
      </c>
      <c r="I20" s="458">
        <v>61.239398560000005</v>
      </c>
      <c r="J20" s="458">
        <v>51.5371167744</v>
      </c>
      <c r="M20" s="97"/>
      <c r="N20" s="97"/>
      <c r="O20" s="97"/>
      <c r="P20" s="97"/>
      <c r="Q20" s="97"/>
    </row>
    <row r="21" spans="1:17" ht="12.75">
      <c r="A21" s="95"/>
      <c r="B21" s="96"/>
      <c r="C21" s="306" t="str">
        <f>'C. Masterfiles'!C88</f>
        <v>S05</v>
      </c>
      <c r="D21" s="291" t="str">
        <f>'C. Masterfiles'!D88</f>
        <v>Originating calls (international)</v>
      </c>
      <c r="E21" s="93" t="str">
        <f>'C. Masterfiles'!E88</f>
        <v>Voice Minutes</v>
      </c>
      <c r="F21" s="458">
        <v>119.85381000000001</v>
      </c>
      <c r="G21" s="458">
        <v>82.69346</v>
      </c>
      <c r="H21" s="458">
        <v>69.540408</v>
      </c>
      <c r="I21" s="458">
        <v>53.42403185</v>
      </c>
      <c r="J21" s="458">
        <v>40.16501472</v>
      </c>
      <c r="M21" s="97"/>
      <c r="N21" s="97"/>
      <c r="O21" s="97"/>
      <c r="P21" s="97"/>
      <c r="Q21" s="97"/>
    </row>
    <row r="22" spans="1:17" ht="12.75">
      <c r="A22" s="95"/>
      <c r="B22" s="96"/>
      <c r="C22" s="306" t="str">
        <f>'C. Masterfiles'!C89</f>
        <v>S06</v>
      </c>
      <c r="D22" s="291" t="str">
        <f>'C. Masterfiles'!D89</f>
        <v>Terminating calls (local)</v>
      </c>
      <c r="E22" s="93" t="str">
        <f>'C. Masterfiles'!E89</f>
        <v>Voice Minutes</v>
      </c>
      <c r="F22" s="458">
        <v>60.5900712</v>
      </c>
      <c r="G22" s="458">
        <v>64.1247492</v>
      </c>
      <c r="H22" s="458">
        <v>72.14419936</v>
      </c>
      <c r="I22" s="458">
        <v>79.683919082</v>
      </c>
      <c r="J22" s="458">
        <v>86.5902606336</v>
      </c>
      <c r="M22" s="97"/>
      <c r="N22" s="97"/>
      <c r="O22" s="97"/>
      <c r="P22" s="97"/>
      <c r="Q22" s="97"/>
    </row>
    <row r="23" spans="1:17" ht="12.75">
      <c r="A23" s="95"/>
      <c r="B23" s="96"/>
      <c r="C23" s="306" t="str">
        <f>'C. Masterfiles'!C90</f>
        <v>S07</v>
      </c>
      <c r="D23" s="291" t="str">
        <f>'C. Masterfiles'!D90</f>
        <v>Terminating calls (national) </v>
      </c>
      <c r="E23" s="93" t="str">
        <f>'C. Masterfiles'!E90</f>
        <v>Voice Minutes</v>
      </c>
      <c r="F23" s="458">
        <v>73.4090688</v>
      </c>
      <c r="G23" s="458">
        <v>74.55950080000001</v>
      </c>
      <c r="H23" s="458">
        <v>78.80369664000001</v>
      </c>
      <c r="I23" s="458">
        <v>81.996139168</v>
      </c>
      <c r="J23" s="458">
        <v>83.4933848064</v>
      </c>
      <c r="M23" s="97"/>
      <c r="N23" s="97"/>
      <c r="O23" s="97"/>
      <c r="P23" s="97"/>
      <c r="Q23" s="97"/>
    </row>
    <row r="24" spans="2:17" ht="12.75">
      <c r="B24" s="54"/>
      <c r="C24" s="306" t="str">
        <f>'C. Masterfiles'!C91</f>
        <v>S08</v>
      </c>
      <c r="D24" s="291" t="str">
        <f>'C. Masterfiles'!D91</f>
        <v>Terminating calls (international)</v>
      </c>
      <c r="E24" s="93" t="str">
        <f>'C. Masterfiles'!E91</f>
        <v>Voice Minutes</v>
      </c>
      <c r="F24" s="458">
        <v>389.16057</v>
      </c>
      <c r="G24" s="458">
        <v>356.36401</v>
      </c>
      <c r="H24" s="458">
        <v>343.36976000000004</v>
      </c>
      <c r="I24" s="458">
        <v>323.9433367</v>
      </c>
      <c r="J24" s="458">
        <v>299.080368</v>
      </c>
      <c r="M24" s="97"/>
      <c r="N24" s="97"/>
      <c r="O24" s="97"/>
      <c r="P24" s="97"/>
      <c r="Q24" s="97"/>
    </row>
    <row r="25" spans="2:17" ht="12.75">
      <c r="B25" s="54"/>
      <c r="C25" s="306" t="str">
        <f>'C. Masterfiles'!C92</f>
        <v>S09</v>
      </c>
      <c r="D25" s="291" t="str">
        <f>'C. Masterfiles'!D92</f>
        <v>Transit calls</v>
      </c>
      <c r="E25" s="93" t="str">
        <f>'C. Masterfiles'!E92</f>
        <v>Voice Minutes</v>
      </c>
      <c r="F25" s="458">
        <v>150.57612</v>
      </c>
      <c r="G25" s="458">
        <v>111.71992</v>
      </c>
      <c r="H25" s="458">
        <v>131.723576</v>
      </c>
      <c r="I25" s="458">
        <v>126.89756670000001</v>
      </c>
      <c r="J25" s="458">
        <v>119.63408256</v>
      </c>
      <c r="M25" s="97"/>
      <c r="N25" s="97"/>
      <c r="O25" s="97"/>
      <c r="P25" s="97"/>
      <c r="Q25" s="97"/>
    </row>
    <row r="26" spans="2:17" ht="12.75">
      <c r="B26" s="54"/>
      <c r="C26" s="306" t="str">
        <f>'C. Masterfiles'!C93</f>
        <v>S10</v>
      </c>
      <c r="D26" s="291" t="str">
        <f>'C. Masterfiles'!D93</f>
        <v>Calls to directory enquiries, emergency &amp; helpdesk</v>
      </c>
      <c r="E26" s="93" t="str">
        <f>'C. Masterfiles'!E93</f>
        <v>Voice Minutes</v>
      </c>
      <c r="F26" s="458">
        <v>2.54517804</v>
      </c>
      <c r="G26" s="458">
        <v>2.51929185</v>
      </c>
      <c r="H26" s="458">
        <v>2.594952</v>
      </c>
      <c r="I26" s="458">
        <v>2.5455915</v>
      </c>
      <c r="J26" s="458">
        <v>2.44376784</v>
      </c>
      <c r="M26" s="97"/>
      <c r="N26" s="97"/>
      <c r="O26" s="97"/>
      <c r="P26" s="97"/>
      <c r="Q26" s="97"/>
    </row>
    <row r="27" spans="2:17" ht="12.75">
      <c r="B27" s="54"/>
      <c r="C27" s="306" t="str">
        <f>'C. Masterfiles'!C94</f>
        <v>S11</v>
      </c>
      <c r="D27" s="291" t="str">
        <f>'C. Masterfiles'!D94</f>
        <v>Calls to non-geographic numbers</v>
      </c>
      <c r="E27" s="93" t="str">
        <f>'C. Masterfiles'!E94</f>
        <v>Voice Minutes</v>
      </c>
      <c r="F27" s="458">
        <v>1.7080022700000002</v>
      </c>
      <c r="G27" s="458">
        <v>1.57776352</v>
      </c>
      <c r="H27" s="458">
        <v>1.19700556</v>
      </c>
      <c r="I27" s="458">
        <v>1.2483987335</v>
      </c>
      <c r="J27" s="458">
        <v>1.32461676144</v>
      </c>
      <c r="M27" s="97"/>
      <c r="N27" s="97"/>
      <c r="O27" s="97"/>
      <c r="P27" s="97"/>
      <c r="Q27" s="97"/>
    </row>
    <row r="28" spans="2:17" ht="12.75">
      <c r="B28" s="54"/>
      <c r="C28" s="306" t="str">
        <f>'C. Masterfiles'!C95</f>
        <v>S12</v>
      </c>
      <c r="D28" s="291" t="str">
        <f>'C. Masterfiles'!D95</f>
        <v>Internet dial-up calls</v>
      </c>
      <c r="E28" s="93" t="str">
        <f>'C. Masterfiles'!E95</f>
        <v>Voice Minutes</v>
      </c>
      <c r="F28" s="458">
        <v>399.53619000000003</v>
      </c>
      <c r="G28" s="458">
        <v>240.48601</v>
      </c>
      <c r="H28" s="458">
        <v>79.03352000000001</v>
      </c>
      <c r="I28" s="458">
        <v>36.98234195</v>
      </c>
      <c r="J28" s="458">
        <v>16.93516128</v>
      </c>
      <c r="M28" s="97"/>
      <c r="N28" s="97"/>
      <c r="O28" s="97"/>
      <c r="P28" s="97"/>
      <c r="Q28" s="97"/>
    </row>
    <row r="29" spans="2:17" ht="12.75">
      <c r="B29" s="54"/>
      <c r="C29" s="306" t="str">
        <f>'C. Masterfiles'!C96</f>
        <v>End</v>
      </c>
      <c r="D29" s="291" t="str">
        <f>'C. Masterfiles'!D96</f>
        <v>End of list</v>
      </c>
      <c r="E29" s="93" t="str">
        <f>'C. Masterfiles'!E96</f>
        <v>End</v>
      </c>
      <c r="F29" s="155"/>
      <c r="G29" s="155"/>
      <c r="H29" s="156"/>
      <c r="I29" s="157"/>
      <c r="J29" s="157"/>
      <c r="M29" s="97"/>
      <c r="N29" s="97"/>
      <c r="O29" s="97"/>
      <c r="P29" s="97"/>
      <c r="Q29" s="97"/>
    </row>
    <row r="30" ht="12.75">
      <c r="B30" s="54"/>
    </row>
    <row r="31" ht="12.75">
      <c r="B31" s="54"/>
    </row>
    <row r="32" spans="2:10" ht="12.75">
      <c r="B32" s="54"/>
      <c r="C32" s="506" t="s">
        <v>37</v>
      </c>
      <c r="D32" s="98"/>
      <c r="E32" s="98"/>
      <c r="F32" s="98"/>
      <c r="G32" s="98"/>
      <c r="H32" s="98"/>
      <c r="I32" s="98"/>
      <c r="J32" s="98"/>
    </row>
    <row r="33" spans="2:10" ht="12.75">
      <c r="B33" s="54"/>
      <c r="C33" s="89"/>
      <c r="D33" s="98"/>
      <c r="E33" s="98"/>
      <c r="F33" s="98"/>
      <c r="G33" s="98"/>
      <c r="H33" s="98"/>
      <c r="I33" s="98"/>
      <c r="J33" s="98"/>
    </row>
    <row r="34" spans="2:10" ht="12.75">
      <c r="B34" s="54"/>
      <c r="C34" s="120" t="s">
        <v>634</v>
      </c>
      <c r="D34" s="90" t="s">
        <v>686</v>
      </c>
      <c r="E34" s="91" t="s">
        <v>779</v>
      </c>
      <c r="F34" s="92">
        <f>F16</f>
        <v>2008</v>
      </c>
      <c r="G34" s="92">
        <f>G16</f>
        <v>2009</v>
      </c>
      <c r="H34" s="92">
        <f>H16</f>
        <v>2010</v>
      </c>
      <c r="I34" s="92">
        <f>I16</f>
        <v>2011</v>
      </c>
      <c r="J34" s="92">
        <f>J16</f>
        <v>2012</v>
      </c>
    </row>
    <row r="35" spans="2:10" ht="12.75">
      <c r="B35" s="54"/>
      <c r="C35" s="306" t="str">
        <f aca="true" t="shared" si="1" ref="C35:E46">C17</f>
        <v>S01</v>
      </c>
      <c r="D35" s="306" t="str">
        <f t="shared" si="1"/>
        <v>On-net local calls</v>
      </c>
      <c r="E35" s="306" t="str">
        <f t="shared" si="1"/>
        <v>Voice Minutes</v>
      </c>
      <c r="F35" s="484">
        <f>F17*'1.Subscribers'!G$200/'1.Subscribers'!G$192</f>
        <v>2526.4417200000003</v>
      </c>
      <c r="G35" s="484">
        <f>G17*'1.Subscribers'!H$200/'1.Subscribers'!H$192</f>
        <v>2476.74807</v>
      </c>
      <c r="H35" s="484">
        <f>H17*'1.Subscribers'!I$200/'1.Subscribers'!I$192</f>
        <v>2417.76</v>
      </c>
      <c r="I35" s="484">
        <f>I17*'1.Subscribers'!J$200/'1.Subscribers'!J$192</f>
        <v>2375.0803319999995</v>
      </c>
      <c r="J35" s="484">
        <f>J17*'1.Subscribers'!K$200/'1.Subscribers'!K$192</f>
        <v>2283.2594726400002</v>
      </c>
    </row>
    <row r="36" spans="2:10" ht="12.75">
      <c r="B36" s="54"/>
      <c r="C36" s="306" t="str">
        <f t="shared" si="1"/>
        <v>S02</v>
      </c>
      <c r="D36" s="306" t="str">
        <f t="shared" si="1"/>
        <v>On-net national calls</v>
      </c>
      <c r="E36" s="306" t="str">
        <f t="shared" si="1"/>
        <v>Voice Minutes</v>
      </c>
      <c r="F36" s="484">
        <f>F18*'1.Subscribers'!G$200/'1.Subscribers'!G$192</f>
        <v>392.55357000000004</v>
      </c>
      <c r="G36" s="484">
        <f>G18*'1.Subscribers'!H$200/'1.Subscribers'!H$192</f>
        <v>348.54358</v>
      </c>
      <c r="H36" s="484">
        <f>H18*'1.Subscribers'!I$200/'1.Subscribers'!I$192</f>
        <v>323.654712</v>
      </c>
      <c r="I36" s="484">
        <f>I18*'1.Subscribers'!J$200/'1.Subscribers'!J$192</f>
        <v>295.1475371</v>
      </c>
      <c r="J36" s="484">
        <f>J18*'1.Subscribers'!K$200/'1.Subscribers'!K$192</f>
        <v>263.39543328</v>
      </c>
    </row>
    <row r="37" spans="2:10" ht="12.75">
      <c r="B37" s="54"/>
      <c r="C37" s="306" t="str">
        <f t="shared" si="1"/>
        <v>S03</v>
      </c>
      <c r="D37" s="306" t="str">
        <f t="shared" si="1"/>
        <v>Originating calls (local)</v>
      </c>
      <c r="E37" s="306" t="str">
        <f t="shared" si="1"/>
        <v>Voice Minutes</v>
      </c>
      <c r="F37" s="484">
        <f>F19*'1.Subscribers'!G$200/'1.Subscribers'!G$192</f>
        <v>66.73335</v>
      </c>
      <c r="G37" s="484">
        <f>G19*'1.Subscribers'!H$200/'1.Subscribers'!H$192</f>
        <v>60.8708024</v>
      </c>
      <c r="H37" s="484">
        <f>H19*'1.Subscribers'!I$200/'1.Subscribers'!I$192</f>
        <v>59.128385279999996</v>
      </c>
      <c r="I37" s="484">
        <f>I19*'1.Subscribers'!J$200/'1.Subscribers'!J$192</f>
        <v>58.48436948999999</v>
      </c>
      <c r="J37" s="484">
        <f>J19*'1.Subscribers'!K$200/'1.Subscribers'!K$192</f>
        <v>58.6374483456</v>
      </c>
    </row>
    <row r="38" spans="2:10" ht="12.75">
      <c r="B38" s="54"/>
      <c r="C38" s="306" t="str">
        <f t="shared" si="1"/>
        <v>S04</v>
      </c>
      <c r="D38" s="306" t="str">
        <f t="shared" si="1"/>
        <v>Originating calls (national) </v>
      </c>
      <c r="E38" s="306" t="str">
        <f t="shared" si="1"/>
        <v>Voice Minutes</v>
      </c>
      <c r="F38" s="484">
        <f>F20*'1.Subscribers'!G$200/'1.Subscribers'!G$192</f>
        <v>97.10592</v>
      </c>
      <c r="G38" s="484">
        <f>G20*'1.Subscribers'!H$200/'1.Subscribers'!H$192</f>
        <v>81.8976576</v>
      </c>
      <c r="H38" s="484">
        <f>H20*'1.Subscribers'!I$200/'1.Subscribers'!I$192</f>
        <v>71.21206272</v>
      </c>
      <c r="I38" s="484">
        <f>I20*'1.Subscribers'!J$200/'1.Subscribers'!J$192</f>
        <v>61.239398560000005</v>
      </c>
      <c r="J38" s="484">
        <f>J20*'1.Subscribers'!K$200/'1.Subscribers'!K$192</f>
        <v>51.5371167744</v>
      </c>
    </row>
    <row r="39" spans="2:10" ht="12.75">
      <c r="B39" s="54"/>
      <c r="C39" s="306" t="str">
        <f t="shared" si="1"/>
        <v>S05</v>
      </c>
      <c r="D39" s="306" t="str">
        <f t="shared" si="1"/>
        <v>Originating calls (international)</v>
      </c>
      <c r="E39" s="306" t="str">
        <f t="shared" si="1"/>
        <v>Voice Minutes</v>
      </c>
      <c r="F39" s="484">
        <f>F21*'1.Subscribers'!G$200/'1.Subscribers'!G$192</f>
        <v>119.85381000000001</v>
      </c>
      <c r="G39" s="484">
        <f>G21*'1.Subscribers'!H$200/'1.Subscribers'!H$192</f>
        <v>82.69346</v>
      </c>
      <c r="H39" s="484">
        <f>H21*'1.Subscribers'!I$200/'1.Subscribers'!I$192</f>
        <v>69.540408</v>
      </c>
      <c r="I39" s="484">
        <f>I21*'1.Subscribers'!J$200/'1.Subscribers'!J$192</f>
        <v>53.42403185</v>
      </c>
      <c r="J39" s="484">
        <f>J21*'1.Subscribers'!K$200/'1.Subscribers'!K$192</f>
        <v>40.16501472</v>
      </c>
    </row>
    <row r="40" spans="2:10" ht="12.75">
      <c r="B40" s="54"/>
      <c r="C40" s="306" t="str">
        <f t="shared" si="1"/>
        <v>S06</v>
      </c>
      <c r="D40" s="306" t="str">
        <f t="shared" si="1"/>
        <v>Terminating calls (local)</v>
      </c>
      <c r="E40" s="306" t="str">
        <f t="shared" si="1"/>
        <v>Voice Minutes</v>
      </c>
      <c r="F40" s="484">
        <f>F22*'1.Subscribers'!G$200/'1.Subscribers'!G$192</f>
        <v>60.5900712</v>
      </c>
      <c r="G40" s="484">
        <f>G22*'1.Subscribers'!H$200/'1.Subscribers'!H$192</f>
        <v>64.1247492</v>
      </c>
      <c r="H40" s="484">
        <f>H22*'1.Subscribers'!I$200/'1.Subscribers'!I$192</f>
        <v>72.14419936</v>
      </c>
      <c r="I40" s="484">
        <f>I22*'1.Subscribers'!J$200/'1.Subscribers'!J$192</f>
        <v>79.683919082</v>
      </c>
      <c r="J40" s="484">
        <f>J22*'1.Subscribers'!K$200/'1.Subscribers'!K$192</f>
        <v>86.5902606336</v>
      </c>
    </row>
    <row r="41" spans="2:10" ht="12.75">
      <c r="B41" s="54"/>
      <c r="C41" s="306" t="str">
        <f t="shared" si="1"/>
        <v>S07</v>
      </c>
      <c r="D41" s="306" t="str">
        <f t="shared" si="1"/>
        <v>Terminating calls (national) </v>
      </c>
      <c r="E41" s="306" t="str">
        <f t="shared" si="1"/>
        <v>Voice Minutes</v>
      </c>
      <c r="F41" s="484">
        <f>F23*'1.Subscribers'!G$200/'1.Subscribers'!G$192</f>
        <v>73.4090688</v>
      </c>
      <c r="G41" s="484">
        <f>G23*'1.Subscribers'!H$200/'1.Subscribers'!H$192</f>
        <v>74.55950080000001</v>
      </c>
      <c r="H41" s="484">
        <f>H23*'1.Subscribers'!I$200/'1.Subscribers'!I$192</f>
        <v>78.80369664000001</v>
      </c>
      <c r="I41" s="484">
        <f>I23*'1.Subscribers'!J$200/'1.Subscribers'!J$192</f>
        <v>81.996139168</v>
      </c>
      <c r="J41" s="484">
        <f>J23*'1.Subscribers'!K$200/'1.Subscribers'!K$192</f>
        <v>83.4933848064</v>
      </c>
    </row>
    <row r="42" spans="2:10" ht="12.75">
      <c r="B42" s="54"/>
      <c r="C42" s="306" t="str">
        <f t="shared" si="1"/>
        <v>S08</v>
      </c>
      <c r="D42" s="306" t="str">
        <f t="shared" si="1"/>
        <v>Terminating calls (international)</v>
      </c>
      <c r="E42" s="306" t="str">
        <f t="shared" si="1"/>
        <v>Voice Minutes</v>
      </c>
      <c r="F42" s="484">
        <f>F24*'1.Subscribers'!G$200/'1.Subscribers'!G$192</f>
        <v>389.16057</v>
      </c>
      <c r="G42" s="484">
        <f>G24*'1.Subscribers'!H$200/'1.Subscribers'!H$192</f>
        <v>356.36401</v>
      </c>
      <c r="H42" s="484">
        <f>H24*'1.Subscribers'!I$200/'1.Subscribers'!I$192</f>
        <v>343.36976000000004</v>
      </c>
      <c r="I42" s="484">
        <f>I24*'1.Subscribers'!J$200/'1.Subscribers'!J$192</f>
        <v>323.9433367</v>
      </c>
      <c r="J42" s="484">
        <f>J24*'1.Subscribers'!K$200/'1.Subscribers'!K$192</f>
        <v>299.080368</v>
      </c>
    </row>
    <row r="43" spans="2:10" ht="12.75">
      <c r="B43" s="54"/>
      <c r="C43" s="306" t="str">
        <f t="shared" si="1"/>
        <v>S09</v>
      </c>
      <c r="D43" s="306" t="str">
        <f t="shared" si="1"/>
        <v>Transit calls</v>
      </c>
      <c r="E43" s="306" t="str">
        <f t="shared" si="1"/>
        <v>Voice Minutes</v>
      </c>
      <c r="F43" s="484">
        <f>F25*'1.Subscribers'!G$200/'1.Subscribers'!G$192</f>
        <v>150.57612</v>
      </c>
      <c r="G43" s="484">
        <f>G25*'1.Subscribers'!H$200/'1.Subscribers'!H$192</f>
        <v>111.71992</v>
      </c>
      <c r="H43" s="484">
        <f>H25*'1.Subscribers'!I$200/'1.Subscribers'!I$192</f>
        <v>131.723576</v>
      </c>
      <c r="I43" s="484">
        <f>I25*'1.Subscribers'!J$200/'1.Subscribers'!J$192</f>
        <v>126.89756670000001</v>
      </c>
      <c r="J43" s="484">
        <f>J25*'1.Subscribers'!K$200/'1.Subscribers'!K$192</f>
        <v>119.63408256</v>
      </c>
    </row>
    <row r="44" spans="2:10" ht="12.75">
      <c r="B44" s="54"/>
      <c r="C44" s="306" t="str">
        <f t="shared" si="1"/>
        <v>S10</v>
      </c>
      <c r="D44" s="306" t="str">
        <f t="shared" si="1"/>
        <v>Calls to directory enquiries, emergency &amp; helpdesk</v>
      </c>
      <c r="E44" s="306" t="str">
        <f t="shared" si="1"/>
        <v>Voice Minutes</v>
      </c>
      <c r="F44" s="484">
        <f>F26*'1.Subscribers'!G$200/'1.Subscribers'!G$192</f>
        <v>2.54517804</v>
      </c>
      <c r="G44" s="484">
        <f>G26*'1.Subscribers'!H$200/'1.Subscribers'!H$192</f>
        <v>2.51929185</v>
      </c>
      <c r="H44" s="484">
        <f>H26*'1.Subscribers'!I$200/'1.Subscribers'!I$192</f>
        <v>2.594952</v>
      </c>
      <c r="I44" s="484">
        <f>I26*'1.Subscribers'!J$200/'1.Subscribers'!J$192</f>
        <v>2.5455915</v>
      </c>
      <c r="J44" s="484">
        <f>J26*'1.Subscribers'!K$200/'1.Subscribers'!K$192</f>
        <v>2.44376784</v>
      </c>
    </row>
    <row r="45" spans="2:10" ht="12.75">
      <c r="B45" s="54"/>
      <c r="C45" s="306" t="str">
        <f t="shared" si="1"/>
        <v>S11</v>
      </c>
      <c r="D45" s="306" t="str">
        <f t="shared" si="1"/>
        <v>Calls to non-geographic numbers</v>
      </c>
      <c r="E45" s="306" t="str">
        <f t="shared" si="1"/>
        <v>Voice Minutes</v>
      </c>
      <c r="F45" s="484">
        <f>F27*'1.Subscribers'!G$200/'1.Subscribers'!G$192</f>
        <v>1.7080022700000002</v>
      </c>
      <c r="G45" s="484">
        <f>G27*'1.Subscribers'!H$200/'1.Subscribers'!H$192</f>
        <v>1.57776352</v>
      </c>
      <c r="H45" s="484">
        <f>H27*'1.Subscribers'!I$200/'1.Subscribers'!I$192</f>
        <v>1.19700556</v>
      </c>
      <c r="I45" s="484">
        <f>I27*'1.Subscribers'!J$200/'1.Subscribers'!J$192</f>
        <v>1.2483987335</v>
      </c>
      <c r="J45" s="484">
        <f>J27*'1.Subscribers'!K$200/'1.Subscribers'!K$192</f>
        <v>1.32461676144</v>
      </c>
    </row>
    <row r="46" spans="2:10" ht="12.75">
      <c r="B46" s="54"/>
      <c r="C46" s="306" t="str">
        <f t="shared" si="1"/>
        <v>S12</v>
      </c>
      <c r="D46" s="306" t="str">
        <f t="shared" si="1"/>
        <v>Internet dial-up calls</v>
      </c>
      <c r="E46" s="306" t="str">
        <f t="shared" si="1"/>
        <v>Voice Minutes</v>
      </c>
      <c r="F46" s="484">
        <f>F28*'1.Subscribers'!G$200/'1.Subscribers'!G$192</f>
        <v>399.53619000000003</v>
      </c>
      <c r="G46" s="484">
        <f>G28*'1.Subscribers'!H$200/'1.Subscribers'!H$192</f>
        <v>240.48601</v>
      </c>
      <c r="H46" s="484">
        <f>H28*'1.Subscribers'!I$200/'1.Subscribers'!I$192</f>
        <v>79.03352000000001</v>
      </c>
      <c r="I46" s="484">
        <f>I28*'1.Subscribers'!J$200/'1.Subscribers'!J$192</f>
        <v>36.98234195</v>
      </c>
      <c r="J46" s="484">
        <f>J28*'1.Subscribers'!K$200/'1.Subscribers'!K$192</f>
        <v>16.93516128</v>
      </c>
    </row>
    <row r="47" ht="12.75">
      <c r="B47" s="54"/>
    </row>
    <row r="48" ht="12.75">
      <c r="B48" s="54"/>
    </row>
    <row r="49" spans="2:10" ht="12.75">
      <c r="B49" s="54"/>
      <c r="C49" s="80" t="s">
        <v>936</v>
      </c>
      <c r="D49" s="98"/>
      <c r="E49" s="98"/>
      <c r="F49" s="98"/>
      <c r="G49" s="98"/>
      <c r="H49" s="98"/>
      <c r="I49" s="98"/>
      <c r="J49" s="98"/>
    </row>
    <row r="50" spans="2:10" ht="12.75">
      <c r="B50" s="54"/>
      <c r="C50" s="89"/>
      <c r="D50" s="98"/>
      <c r="E50" s="98"/>
      <c r="F50" s="98"/>
      <c r="G50" s="98"/>
      <c r="H50" s="98"/>
      <c r="I50" s="98"/>
      <c r="J50" s="98"/>
    </row>
    <row r="51" spans="2:10" ht="12.75">
      <c r="B51" s="54"/>
      <c r="C51" s="120" t="s">
        <v>634</v>
      </c>
      <c r="D51" s="90" t="s">
        <v>686</v>
      </c>
      <c r="E51" s="91" t="s">
        <v>779</v>
      </c>
      <c r="F51" s="92">
        <f>F34</f>
        <v>2008</v>
      </c>
      <c r="G51" s="92">
        <f>G34</f>
        <v>2009</v>
      </c>
      <c r="H51" s="92">
        <f>H34</f>
        <v>2010</v>
      </c>
      <c r="I51" s="92">
        <f>I34</f>
        <v>2011</v>
      </c>
      <c r="J51" s="92">
        <f>J34</f>
        <v>2012</v>
      </c>
    </row>
    <row r="52" spans="2:10" ht="12.75">
      <c r="B52" s="54"/>
      <c r="C52" s="306" t="str">
        <f aca="true" t="shared" si="2" ref="C52:E63">C35</f>
        <v>S01</v>
      </c>
      <c r="D52" s="306" t="str">
        <f t="shared" si="2"/>
        <v>On-net local calls</v>
      </c>
      <c r="E52" s="306" t="str">
        <f t="shared" si="2"/>
        <v>Voice Minutes</v>
      </c>
      <c r="F52" s="484">
        <f>IF('B. Dashboard'!$K$36=1,F17,(IF('B. Dashboard'!$K$36=2,F35)))</f>
        <v>2526.4417200000003</v>
      </c>
      <c r="G52" s="484">
        <f>IF('B. Dashboard'!$K$36=1,G17,(IF('B. Dashboard'!$K$36=2,G35)))</f>
        <v>2476.74807</v>
      </c>
      <c r="H52" s="484">
        <f>IF('B. Dashboard'!$K$36=1,H17,(IF('B. Dashboard'!$K$36=2,H35)))</f>
        <v>2417.76</v>
      </c>
      <c r="I52" s="484">
        <f>IF('B. Dashboard'!$K$36=1,I17,(IF('B. Dashboard'!$K$36=2,I35)))</f>
        <v>2375.0803319999995</v>
      </c>
      <c r="J52" s="484">
        <f>IF('B. Dashboard'!$K$36=1,J17,(IF('B. Dashboard'!$K$36=2,J35)))</f>
        <v>2283.2594726400002</v>
      </c>
    </row>
    <row r="53" spans="2:10" ht="12.75">
      <c r="B53" s="54"/>
      <c r="C53" s="306" t="str">
        <f t="shared" si="2"/>
        <v>S02</v>
      </c>
      <c r="D53" s="306" t="str">
        <f t="shared" si="2"/>
        <v>On-net national calls</v>
      </c>
      <c r="E53" s="306" t="str">
        <f t="shared" si="2"/>
        <v>Voice Minutes</v>
      </c>
      <c r="F53" s="484">
        <f>IF('B. Dashboard'!$K$36=1,F18,(IF('B. Dashboard'!$K$36=2,F36)))</f>
        <v>392.55357000000004</v>
      </c>
      <c r="G53" s="484">
        <f>IF('B. Dashboard'!$K$36=1,G18,(IF('B. Dashboard'!$K$36=2,G36)))</f>
        <v>348.54358</v>
      </c>
      <c r="H53" s="484">
        <f>IF('B. Dashboard'!$K$36=1,H18,(IF('B. Dashboard'!$K$36=2,H36)))</f>
        <v>323.654712</v>
      </c>
      <c r="I53" s="484">
        <f>IF('B. Dashboard'!$K$36=1,I18,(IF('B. Dashboard'!$K$36=2,I36)))</f>
        <v>295.1475371</v>
      </c>
      <c r="J53" s="484">
        <f>IF('B. Dashboard'!$K$36=1,J18,(IF('B. Dashboard'!$K$36=2,J36)))</f>
        <v>263.39543328</v>
      </c>
    </row>
    <row r="54" spans="2:10" ht="12.75">
      <c r="B54" s="54"/>
      <c r="C54" s="306" t="str">
        <f t="shared" si="2"/>
        <v>S03</v>
      </c>
      <c r="D54" s="306" t="str">
        <f t="shared" si="2"/>
        <v>Originating calls (local)</v>
      </c>
      <c r="E54" s="306" t="str">
        <f t="shared" si="2"/>
        <v>Voice Minutes</v>
      </c>
      <c r="F54" s="484">
        <f>IF('B. Dashboard'!$K$36=1,F19,(IF('B. Dashboard'!$K$36=2,F37)))</f>
        <v>66.73335</v>
      </c>
      <c r="G54" s="484">
        <f>IF('B. Dashboard'!$K$36=1,G19,(IF('B. Dashboard'!$K$36=2,G37)))</f>
        <v>60.8708024</v>
      </c>
      <c r="H54" s="484">
        <f>IF('B. Dashboard'!$K$36=1,H19,(IF('B. Dashboard'!$K$36=2,H37)))</f>
        <v>59.128385279999996</v>
      </c>
      <c r="I54" s="484">
        <f>IF('B. Dashboard'!$K$36=1,I19,(IF('B. Dashboard'!$K$36=2,I37)))</f>
        <v>58.48436948999999</v>
      </c>
      <c r="J54" s="484">
        <f>IF('B. Dashboard'!$K$36=1,J19,(IF('B. Dashboard'!$K$36=2,J37)))</f>
        <v>58.6374483456</v>
      </c>
    </row>
    <row r="55" spans="2:10" ht="12.75">
      <c r="B55" s="54"/>
      <c r="C55" s="306" t="str">
        <f t="shared" si="2"/>
        <v>S04</v>
      </c>
      <c r="D55" s="306" t="str">
        <f t="shared" si="2"/>
        <v>Originating calls (national) </v>
      </c>
      <c r="E55" s="306" t="str">
        <f t="shared" si="2"/>
        <v>Voice Minutes</v>
      </c>
      <c r="F55" s="484">
        <f>IF('B. Dashboard'!$K$36=1,F20,(IF('B. Dashboard'!$K$36=2,F38)))</f>
        <v>97.10592</v>
      </c>
      <c r="G55" s="484">
        <f>IF('B. Dashboard'!$K$36=1,G20,(IF('B. Dashboard'!$K$36=2,G38)))</f>
        <v>81.8976576</v>
      </c>
      <c r="H55" s="484">
        <f>IF('B. Dashboard'!$K$36=1,H20,(IF('B. Dashboard'!$K$36=2,H38)))</f>
        <v>71.21206272</v>
      </c>
      <c r="I55" s="484">
        <f>IF('B. Dashboard'!$K$36=1,I20,(IF('B. Dashboard'!$K$36=2,I38)))</f>
        <v>61.239398560000005</v>
      </c>
      <c r="J55" s="484">
        <f>IF('B. Dashboard'!$K$36=1,J20,(IF('B. Dashboard'!$K$36=2,J38)))</f>
        <v>51.5371167744</v>
      </c>
    </row>
    <row r="56" spans="2:10" ht="12.75">
      <c r="B56" s="54"/>
      <c r="C56" s="306" t="str">
        <f t="shared" si="2"/>
        <v>S05</v>
      </c>
      <c r="D56" s="306" t="str">
        <f t="shared" si="2"/>
        <v>Originating calls (international)</v>
      </c>
      <c r="E56" s="306" t="str">
        <f t="shared" si="2"/>
        <v>Voice Minutes</v>
      </c>
      <c r="F56" s="484">
        <f>IF('B. Dashboard'!$K$36=1,F21,(IF('B. Dashboard'!$K$36=2,F39)))</f>
        <v>119.85381000000001</v>
      </c>
      <c r="G56" s="484">
        <f>IF('B. Dashboard'!$K$36=1,G21,(IF('B. Dashboard'!$K$36=2,G39)))</f>
        <v>82.69346</v>
      </c>
      <c r="H56" s="484">
        <f>IF('B. Dashboard'!$K$36=1,H21,(IF('B. Dashboard'!$K$36=2,H39)))</f>
        <v>69.540408</v>
      </c>
      <c r="I56" s="484">
        <f>IF('B. Dashboard'!$K$36=1,I21,(IF('B. Dashboard'!$K$36=2,I39)))</f>
        <v>53.42403185</v>
      </c>
      <c r="J56" s="484">
        <f>IF('B. Dashboard'!$K$36=1,J21,(IF('B. Dashboard'!$K$36=2,J39)))</f>
        <v>40.16501472</v>
      </c>
    </row>
    <row r="57" spans="2:10" ht="12.75">
      <c r="B57" s="54"/>
      <c r="C57" s="306" t="str">
        <f t="shared" si="2"/>
        <v>S06</v>
      </c>
      <c r="D57" s="306" t="str">
        <f t="shared" si="2"/>
        <v>Terminating calls (local)</v>
      </c>
      <c r="E57" s="306" t="str">
        <f t="shared" si="2"/>
        <v>Voice Minutes</v>
      </c>
      <c r="F57" s="484">
        <f>IF('B. Dashboard'!$K$36=1,F22,(IF('B. Dashboard'!$K$36=2,F40)))</f>
        <v>60.5900712</v>
      </c>
      <c r="G57" s="484">
        <f>IF('B. Dashboard'!$K$36=1,G22,(IF('B. Dashboard'!$K$36=2,G40)))</f>
        <v>64.1247492</v>
      </c>
      <c r="H57" s="484">
        <f>IF('B. Dashboard'!$K$36=1,H22,(IF('B. Dashboard'!$K$36=2,H40)))</f>
        <v>72.14419936</v>
      </c>
      <c r="I57" s="484">
        <f>IF('B. Dashboard'!$K$36=1,I22,(IF('B. Dashboard'!$K$36=2,I40)))</f>
        <v>79.683919082</v>
      </c>
      <c r="J57" s="484">
        <f>IF('B. Dashboard'!$K$36=1,J22,(IF('B. Dashboard'!$K$36=2,J40)))</f>
        <v>86.5902606336</v>
      </c>
    </row>
    <row r="58" spans="2:10" ht="12.75">
      <c r="B58" s="54"/>
      <c r="C58" s="306" t="str">
        <f t="shared" si="2"/>
        <v>S07</v>
      </c>
      <c r="D58" s="306" t="str">
        <f t="shared" si="2"/>
        <v>Terminating calls (national) </v>
      </c>
      <c r="E58" s="306" t="str">
        <f t="shared" si="2"/>
        <v>Voice Minutes</v>
      </c>
      <c r="F58" s="484">
        <f>IF('B. Dashboard'!$K$36=1,F23,(IF('B. Dashboard'!$K$36=2,F41)))</f>
        <v>73.4090688</v>
      </c>
      <c r="G58" s="484">
        <f>IF('B. Dashboard'!$K$36=1,G23,(IF('B. Dashboard'!$K$36=2,G41)))</f>
        <v>74.55950080000001</v>
      </c>
      <c r="H58" s="484">
        <f>IF('B. Dashboard'!$K$36=1,H23,(IF('B. Dashboard'!$K$36=2,H41)))</f>
        <v>78.80369664000001</v>
      </c>
      <c r="I58" s="484">
        <f>IF('B. Dashboard'!$K$36=1,I23,(IF('B. Dashboard'!$K$36=2,I41)))</f>
        <v>81.996139168</v>
      </c>
      <c r="J58" s="484">
        <f>IF('B. Dashboard'!$K$36=1,J23,(IF('B. Dashboard'!$K$36=2,J41)))</f>
        <v>83.4933848064</v>
      </c>
    </row>
    <row r="59" spans="2:10" ht="12.75">
      <c r="B59" s="54"/>
      <c r="C59" s="306" t="str">
        <f t="shared" si="2"/>
        <v>S08</v>
      </c>
      <c r="D59" s="306" t="str">
        <f t="shared" si="2"/>
        <v>Terminating calls (international)</v>
      </c>
      <c r="E59" s="306" t="str">
        <f t="shared" si="2"/>
        <v>Voice Minutes</v>
      </c>
      <c r="F59" s="484">
        <f>IF('B. Dashboard'!$K$36=1,F24,(IF('B. Dashboard'!$K$36=2,F42)))</f>
        <v>389.16057</v>
      </c>
      <c r="G59" s="484">
        <f>IF('B. Dashboard'!$K$36=1,G24,(IF('B. Dashboard'!$K$36=2,G42)))</f>
        <v>356.36401</v>
      </c>
      <c r="H59" s="484">
        <f>IF('B. Dashboard'!$K$36=1,H24,(IF('B. Dashboard'!$K$36=2,H42)))</f>
        <v>343.36976000000004</v>
      </c>
      <c r="I59" s="484">
        <f>IF('B. Dashboard'!$K$36=1,I24,(IF('B. Dashboard'!$K$36=2,I42)))</f>
        <v>323.9433367</v>
      </c>
      <c r="J59" s="484">
        <f>IF('B. Dashboard'!$K$36=1,J24,(IF('B. Dashboard'!$K$36=2,J42)))</f>
        <v>299.080368</v>
      </c>
    </row>
    <row r="60" spans="2:10" ht="12.75">
      <c r="B60" s="54"/>
      <c r="C60" s="306" t="str">
        <f t="shared" si="2"/>
        <v>S09</v>
      </c>
      <c r="D60" s="306" t="str">
        <f t="shared" si="2"/>
        <v>Transit calls</v>
      </c>
      <c r="E60" s="306" t="str">
        <f t="shared" si="2"/>
        <v>Voice Minutes</v>
      </c>
      <c r="F60" s="484">
        <f>IF('B. Dashboard'!$K$36=1,F25,(IF('B. Dashboard'!$K$36=2,F43)))</f>
        <v>150.57612</v>
      </c>
      <c r="G60" s="484">
        <f>IF('B. Dashboard'!$K$36=1,G25,(IF('B. Dashboard'!$K$36=2,G43)))</f>
        <v>111.71992</v>
      </c>
      <c r="H60" s="484">
        <f>IF('B. Dashboard'!$K$36=1,H25,(IF('B. Dashboard'!$K$36=2,H43)))</f>
        <v>131.723576</v>
      </c>
      <c r="I60" s="484">
        <f>IF('B. Dashboard'!$K$36=1,I25,(IF('B. Dashboard'!$K$36=2,I43)))</f>
        <v>126.89756670000001</v>
      </c>
      <c r="J60" s="484">
        <f>IF('B. Dashboard'!$K$36=1,J25,(IF('B. Dashboard'!$K$36=2,J43)))</f>
        <v>119.63408256</v>
      </c>
    </row>
    <row r="61" spans="2:10" ht="12.75">
      <c r="B61" s="54"/>
      <c r="C61" s="306" t="str">
        <f t="shared" si="2"/>
        <v>S10</v>
      </c>
      <c r="D61" s="306" t="str">
        <f t="shared" si="2"/>
        <v>Calls to directory enquiries, emergency &amp; helpdesk</v>
      </c>
      <c r="E61" s="306" t="str">
        <f t="shared" si="2"/>
        <v>Voice Minutes</v>
      </c>
      <c r="F61" s="484">
        <f>IF('B. Dashboard'!$K$36=1,F26,(IF('B. Dashboard'!$K$36=2,F44)))</f>
        <v>2.54517804</v>
      </c>
      <c r="G61" s="484">
        <f>IF('B. Dashboard'!$K$36=1,G26,(IF('B. Dashboard'!$K$36=2,G44)))</f>
        <v>2.51929185</v>
      </c>
      <c r="H61" s="484">
        <f>IF('B. Dashboard'!$K$36=1,H26,(IF('B. Dashboard'!$K$36=2,H44)))</f>
        <v>2.594952</v>
      </c>
      <c r="I61" s="484">
        <f>IF('B. Dashboard'!$K$36=1,I26,(IF('B. Dashboard'!$K$36=2,I44)))</f>
        <v>2.5455915</v>
      </c>
      <c r="J61" s="484">
        <f>IF('B. Dashboard'!$K$36=1,J26,(IF('B. Dashboard'!$K$36=2,J44)))</f>
        <v>2.44376784</v>
      </c>
    </row>
    <row r="62" spans="2:10" ht="12.75">
      <c r="B62" s="54"/>
      <c r="C62" s="306" t="str">
        <f t="shared" si="2"/>
        <v>S11</v>
      </c>
      <c r="D62" s="306" t="str">
        <f t="shared" si="2"/>
        <v>Calls to non-geographic numbers</v>
      </c>
      <c r="E62" s="306" t="str">
        <f t="shared" si="2"/>
        <v>Voice Minutes</v>
      </c>
      <c r="F62" s="484">
        <f>IF('B. Dashboard'!$K$36=1,F27,(IF('B. Dashboard'!$K$36=2,F45)))</f>
        <v>1.7080022700000002</v>
      </c>
      <c r="G62" s="484">
        <f>IF('B. Dashboard'!$K$36=1,G27,(IF('B. Dashboard'!$K$36=2,G45)))</f>
        <v>1.57776352</v>
      </c>
      <c r="H62" s="484">
        <f>IF('B. Dashboard'!$K$36=1,H27,(IF('B. Dashboard'!$K$36=2,H45)))</f>
        <v>1.19700556</v>
      </c>
      <c r="I62" s="484">
        <f>IF('B. Dashboard'!$K$36=1,I27,(IF('B. Dashboard'!$K$36=2,I45)))</f>
        <v>1.2483987335</v>
      </c>
      <c r="J62" s="484">
        <f>IF('B. Dashboard'!$K$36=1,J27,(IF('B. Dashboard'!$K$36=2,J45)))</f>
        <v>1.32461676144</v>
      </c>
    </row>
    <row r="63" spans="2:10" ht="12.75">
      <c r="B63" s="54"/>
      <c r="C63" s="306" t="str">
        <f t="shared" si="2"/>
        <v>S12</v>
      </c>
      <c r="D63" s="306" t="str">
        <f t="shared" si="2"/>
        <v>Internet dial-up calls</v>
      </c>
      <c r="E63" s="306" t="str">
        <f t="shared" si="2"/>
        <v>Voice Minutes</v>
      </c>
      <c r="F63" s="484">
        <f>IF('B. Dashboard'!$K$36=1,F28,(IF('B. Dashboard'!$K$36=2,F46)))</f>
        <v>399.53619000000003</v>
      </c>
      <c r="G63" s="484">
        <f>IF('B. Dashboard'!$K$36=1,G28,(IF('B. Dashboard'!$K$36=2,G46)))</f>
        <v>240.48601</v>
      </c>
      <c r="H63" s="484">
        <f>IF('B. Dashboard'!$K$36=1,H28,(IF('B. Dashboard'!$K$36=2,H46)))</f>
        <v>79.03352000000001</v>
      </c>
      <c r="I63" s="484">
        <f>IF('B. Dashboard'!$K$36=1,I28,(IF('B. Dashboard'!$K$36=2,I46)))</f>
        <v>36.98234195</v>
      </c>
      <c r="J63" s="484">
        <f>IF('B. Dashboard'!$K$36=1,J28,(IF('B. Dashboard'!$K$36=2,J46)))</f>
        <v>16.93516128</v>
      </c>
    </row>
    <row r="64" ht="12.75">
      <c r="B64" s="54"/>
    </row>
    <row r="65" ht="12.75">
      <c r="B65" s="54"/>
    </row>
    <row r="66" spans="2:3" s="485" customFormat="1" ht="15.75">
      <c r="B66" s="482">
        <f>B12+0.01</f>
        <v>2.0199999999999996</v>
      </c>
      <c r="C66" s="486" t="s">
        <v>806</v>
      </c>
    </row>
    <row r="67" spans="2:3" ht="12.75">
      <c r="B67" s="89"/>
      <c r="C67" s="265"/>
    </row>
    <row r="68" spans="2:3" ht="12.75">
      <c r="B68" s="89"/>
      <c r="C68" s="508" t="s">
        <v>96</v>
      </c>
    </row>
    <row r="69" spans="2:4" ht="12.75">
      <c r="B69" s="89"/>
      <c r="C69" s="265"/>
      <c r="D69" s="549" t="s">
        <v>270</v>
      </c>
    </row>
    <row r="70" spans="2:7" s="126" customFormat="1" ht="51">
      <c r="B70" s="240"/>
      <c r="C70" s="216" t="s">
        <v>634</v>
      </c>
      <c r="D70" s="216" t="s">
        <v>686</v>
      </c>
      <c r="E70" s="305" t="s">
        <v>780</v>
      </c>
      <c r="F70" s="305" t="s">
        <v>782</v>
      </c>
      <c r="G70" s="305" t="s">
        <v>781</v>
      </c>
    </row>
    <row r="71" spans="2:7" ht="12.75" customHeight="1">
      <c r="B71" s="54"/>
      <c r="C71" s="306" t="str">
        <f>'C. Masterfiles'!C84</f>
        <v>S01</v>
      </c>
      <c r="D71" s="306" t="str">
        <f>'C. Masterfiles'!D84</f>
        <v>On-net local calls</v>
      </c>
      <c r="E71" s="308">
        <v>0.75</v>
      </c>
      <c r="F71" s="487">
        <v>180</v>
      </c>
      <c r="G71" s="487">
        <v>15</v>
      </c>
    </row>
    <row r="72" spans="2:7" ht="12.75" customHeight="1">
      <c r="B72" s="54"/>
      <c r="C72" s="306" t="str">
        <f>'C. Masterfiles'!C85</f>
        <v>S02</v>
      </c>
      <c r="D72" s="306" t="str">
        <f>'C. Masterfiles'!D85</f>
        <v>On-net national calls</v>
      </c>
      <c r="E72" s="308">
        <v>0.75</v>
      </c>
      <c r="F72" s="487">
        <v>180</v>
      </c>
      <c r="G72" s="487">
        <v>15</v>
      </c>
    </row>
    <row r="73" spans="2:7" ht="12.75" customHeight="1">
      <c r="B73" s="54"/>
      <c r="C73" s="306" t="str">
        <f>'C. Masterfiles'!C86</f>
        <v>S03</v>
      </c>
      <c r="D73" s="306" t="str">
        <f>'C. Masterfiles'!D86</f>
        <v>Originating calls (local)</v>
      </c>
      <c r="E73" s="308">
        <v>0.7</v>
      </c>
      <c r="F73" s="487">
        <v>180</v>
      </c>
      <c r="G73" s="487">
        <v>15</v>
      </c>
    </row>
    <row r="74" spans="2:7" ht="12.75">
      <c r="B74" s="54"/>
      <c r="C74" s="306" t="str">
        <f>'C. Masterfiles'!C87</f>
        <v>S04</v>
      </c>
      <c r="D74" s="306" t="str">
        <f>'C. Masterfiles'!D87</f>
        <v>Originating calls (national) </v>
      </c>
      <c r="E74" s="308">
        <v>0.7</v>
      </c>
      <c r="F74" s="487">
        <v>70</v>
      </c>
      <c r="G74" s="487">
        <v>15</v>
      </c>
    </row>
    <row r="75" spans="1:7" ht="12.75">
      <c r="A75" s="95"/>
      <c r="B75" s="96"/>
      <c r="C75" s="306" t="str">
        <f>'C. Masterfiles'!C88</f>
        <v>S05</v>
      </c>
      <c r="D75" s="306" t="str">
        <f>'C. Masterfiles'!D88</f>
        <v>Originating calls (international)</v>
      </c>
      <c r="E75" s="308">
        <v>0.6</v>
      </c>
      <c r="F75" s="487">
        <v>200</v>
      </c>
      <c r="G75" s="487">
        <v>15</v>
      </c>
    </row>
    <row r="76" spans="1:7" ht="12.75">
      <c r="A76" s="95"/>
      <c r="B76" s="96"/>
      <c r="C76" s="306" t="str">
        <f>'C. Masterfiles'!C89</f>
        <v>S06</v>
      </c>
      <c r="D76" s="306" t="str">
        <f>'C. Masterfiles'!D89</f>
        <v>Terminating calls (local)</v>
      </c>
      <c r="E76" s="308">
        <v>0.75</v>
      </c>
      <c r="F76" s="487">
        <v>180</v>
      </c>
      <c r="G76" s="487">
        <v>15</v>
      </c>
    </row>
    <row r="77" spans="1:7" ht="12.75">
      <c r="A77" s="95"/>
      <c r="B77" s="96"/>
      <c r="C77" s="306" t="str">
        <f>'C. Masterfiles'!C90</f>
        <v>S07</v>
      </c>
      <c r="D77" s="306" t="str">
        <f>'C. Masterfiles'!D90</f>
        <v>Terminating calls (national) </v>
      </c>
      <c r="E77" s="308">
        <v>0.7</v>
      </c>
      <c r="F77" s="487">
        <v>70</v>
      </c>
      <c r="G77" s="487">
        <v>15</v>
      </c>
    </row>
    <row r="78" spans="2:7" ht="12.75">
      <c r="B78" s="54"/>
      <c r="C78" s="306" t="str">
        <f>'C. Masterfiles'!C91</f>
        <v>S08</v>
      </c>
      <c r="D78" s="306" t="str">
        <f>'C. Masterfiles'!D91</f>
        <v>Terminating calls (international)</v>
      </c>
      <c r="E78" s="308">
        <v>0.6</v>
      </c>
      <c r="F78" s="487">
        <v>200</v>
      </c>
      <c r="G78" s="487">
        <v>15</v>
      </c>
    </row>
    <row r="79" spans="2:7" ht="12.75">
      <c r="B79" s="54"/>
      <c r="C79" s="306" t="str">
        <f>'C. Masterfiles'!C92</f>
        <v>S09</v>
      </c>
      <c r="D79" s="306" t="str">
        <f>'C. Masterfiles'!D92</f>
        <v>Transit calls</v>
      </c>
      <c r="E79" s="308">
        <v>0.75</v>
      </c>
      <c r="F79" s="487">
        <v>100</v>
      </c>
      <c r="G79" s="487">
        <v>15</v>
      </c>
    </row>
    <row r="80" spans="2:7" ht="12.75">
      <c r="B80" s="54"/>
      <c r="C80" s="306" t="str">
        <f>'C. Masterfiles'!C93</f>
        <v>S10</v>
      </c>
      <c r="D80" s="306" t="str">
        <f>'C. Masterfiles'!D93</f>
        <v>Calls to directory enquiries, emergency &amp; helpdesk</v>
      </c>
      <c r="E80" s="308">
        <v>0.75</v>
      </c>
      <c r="F80" s="487">
        <v>70</v>
      </c>
      <c r="G80" s="487">
        <v>15</v>
      </c>
    </row>
    <row r="81" spans="2:7" ht="12.75">
      <c r="B81" s="54"/>
      <c r="C81" s="306" t="str">
        <f>'C. Masterfiles'!C94</f>
        <v>S11</v>
      </c>
      <c r="D81" s="306" t="str">
        <f>'C. Masterfiles'!D94</f>
        <v>Calls to non-geographic numbers</v>
      </c>
      <c r="E81" s="308">
        <v>0.75</v>
      </c>
      <c r="F81" s="487">
        <v>143</v>
      </c>
      <c r="G81" s="487">
        <v>15</v>
      </c>
    </row>
    <row r="82" spans="2:7" ht="12.75">
      <c r="B82" s="54"/>
      <c r="C82" s="306" t="str">
        <f>'C. Masterfiles'!C95</f>
        <v>S12</v>
      </c>
      <c r="D82" s="306" t="str">
        <f>'C. Masterfiles'!D95</f>
        <v>Internet dial-up calls</v>
      </c>
      <c r="E82" s="308">
        <v>0.75</v>
      </c>
      <c r="F82" s="487">
        <v>900</v>
      </c>
      <c r="G82" s="487">
        <v>15</v>
      </c>
    </row>
    <row r="83" spans="2:7" ht="12.75">
      <c r="B83" s="54"/>
      <c r="C83" s="306" t="str">
        <f>'C. Masterfiles'!C96</f>
        <v>End</v>
      </c>
      <c r="D83" s="306" t="str">
        <f>'C. Masterfiles'!D96</f>
        <v>End of list</v>
      </c>
      <c r="E83" s="156"/>
      <c r="F83" s="157"/>
      <c r="G83" s="157"/>
    </row>
    <row r="84" spans="2:3" ht="12.75">
      <c r="B84" s="54"/>
      <c r="C84" s="448"/>
    </row>
    <row r="85" spans="2:3" ht="12.75">
      <c r="B85" s="89"/>
      <c r="C85" s="508" t="s">
        <v>851</v>
      </c>
    </row>
    <row r="86" spans="2:3" ht="12.75">
      <c r="B86" s="89"/>
      <c r="C86" s="265"/>
    </row>
    <row r="87" spans="2:7" s="126" customFormat="1" ht="51">
      <c r="B87" s="240"/>
      <c r="C87" s="216" t="s">
        <v>634</v>
      </c>
      <c r="D87" s="216" t="s">
        <v>686</v>
      </c>
      <c r="E87" s="305" t="s">
        <v>780</v>
      </c>
      <c r="F87" s="305" t="s">
        <v>782</v>
      </c>
      <c r="G87" s="305" t="s">
        <v>781</v>
      </c>
    </row>
    <row r="88" spans="2:7" ht="12.75" customHeight="1">
      <c r="B88" s="54"/>
      <c r="C88" s="306" t="str">
        <f>'C. Masterfiles'!C84</f>
        <v>S01</v>
      </c>
      <c r="D88" s="306" t="str">
        <f>'C. Masterfiles'!D84</f>
        <v>On-net local calls</v>
      </c>
      <c r="E88" s="308">
        <v>0.75</v>
      </c>
      <c r="F88" s="487">
        <v>180</v>
      </c>
      <c r="G88" s="487">
        <v>15</v>
      </c>
    </row>
    <row r="89" spans="2:7" ht="12.75" customHeight="1">
      <c r="B89" s="54"/>
      <c r="C89" s="306" t="str">
        <f>'C. Masterfiles'!C85</f>
        <v>S02</v>
      </c>
      <c r="D89" s="306" t="str">
        <f>'C. Masterfiles'!D85</f>
        <v>On-net national calls</v>
      </c>
      <c r="E89" s="308">
        <v>0.75</v>
      </c>
      <c r="F89" s="487">
        <v>180</v>
      </c>
      <c r="G89" s="487">
        <v>15</v>
      </c>
    </row>
    <row r="90" spans="2:7" ht="12.75" customHeight="1">
      <c r="B90" s="54"/>
      <c r="C90" s="306" t="str">
        <f>'C. Masterfiles'!C86</f>
        <v>S03</v>
      </c>
      <c r="D90" s="306" t="str">
        <f>'C. Masterfiles'!D86</f>
        <v>Originating calls (local)</v>
      </c>
      <c r="E90" s="308">
        <v>0.7</v>
      </c>
      <c r="F90" s="487">
        <v>180</v>
      </c>
      <c r="G90" s="487">
        <v>15</v>
      </c>
    </row>
    <row r="91" spans="2:7" ht="12.75">
      <c r="B91" s="54"/>
      <c r="C91" s="306" t="str">
        <f>'C. Masterfiles'!C87</f>
        <v>S04</v>
      </c>
      <c r="D91" s="306" t="str">
        <f>'C. Masterfiles'!D87</f>
        <v>Originating calls (national) </v>
      </c>
      <c r="E91" s="308">
        <v>0.7</v>
      </c>
      <c r="F91" s="487">
        <v>70</v>
      </c>
      <c r="G91" s="487">
        <v>15</v>
      </c>
    </row>
    <row r="92" spans="1:7" ht="12.75">
      <c r="A92" s="95"/>
      <c r="B92" s="96"/>
      <c r="C92" s="306" t="str">
        <f>'C. Masterfiles'!C88</f>
        <v>S05</v>
      </c>
      <c r="D92" s="306" t="str">
        <f>'C. Masterfiles'!D88</f>
        <v>Originating calls (international)</v>
      </c>
      <c r="E92" s="308">
        <v>0.6</v>
      </c>
      <c r="F92" s="487">
        <v>200</v>
      </c>
      <c r="G92" s="487">
        <v>15</v>
      </c>
    </row>
    <row r="93" spans="1:7" ht="12.75">
      <c r="A93" s="95"/>
      <c r="B93" s="96"/>
      <c r="C93" s="306" t="str">
        <f>'C. Masterfiles'!C89</f>
        <v>S06</v>
      </c>
      <c r="D93" s="306" t="str">
        <f>'C. Masterfiles'!D89</f>
        <v>Terminating calls (local)</v>
      </c>
      <c r="E93" s="308">
        <v>0.75</v>
      </c>
      <c r="F93" s="487">
        <v>180</v>
      </c>
      <c r="G93" s="487">
        <v>15</v>
      </c>
    </row>
    <row r="94" spans="1:7" ht="12.75">
      <c r="A94" s="95"/>
      <c r="B94" s="96"/>
      <c r="C94" s="306" t="str">
        <f>'C. Masterfiles'!C90</f>
        <v>S07</v>
      </c>
      <c r="D94" s="306" t="str">
        <f>'C. Masterfiles'!D90</f>
        <v>Terminating calls (national) </v>
      </c>
      <c r="E94" s="308">
        <v>0.7</v>
      </c>
      <c r="F94" s="487">
        <v>70</v>
      </c>
      <c r="G94" s="487">
        <v>15</v>
      </c>
    </row>
    <row r="95" spans="2:7" ht="12.75">
      <c r="B95" s="54"/>
      <c r="C95" s="306" t="str">
        <f>'C. Masterfiles'!C91</f>
        <v>S08</v>
      </c>
      <c r="D95" s="306" t="str">
        <f>'C. Masterfiles'!D91</f>
        <v>Terminating calls (international)</v>
      </c>
      <c r="E95" s="308">
        <v>0.6</v>
      </c>
      <c r="F95" s="487">
        <v>200</v>
      </c>
      <c r="G95" s="487">
        <v>15</v>
      </c>
    </row>
    <row r="96" spans="2:7" ht="12.75">
      <c r="B96" s="54"/>
      <c r="C96" s="306" t="str">
        <f>'C. Masterfiles'!C92</f>
        <v>S09</v>
      </c>
      <c r="D96" s="306" t="str">
        <f>'C. Masterfiles'!D92</f>
        <v>Transit calls</v>
      </c>
      <c r="E96" s="308">
        <v>0.75</v>
      </c>
      <c r="F96" s="487">
        <v>100</v>
      </c>
      <c r="G96" s="487">
        <v>15</v>
      </c>
    </row>
    <row r="97" spans="2:7" ht="12.75">
      <c r="B97" s="54"/>
      <c r="C97" s="306" t="str">
        <f>'C. Masterfiles'!C93</f>
        <v>S10</v>
      </c>
      <c r="D97" s="306" t="str">
        <f>'C. Masterfiles'!D93</f>
        <v>Calls to directory enquiries, emergency &amp; helpdesk</v>
      </c>
      <c r="E97" s="308">
        <v>0.75</v>
      </c>
      <c r="F97" s="487">
        <v>70</v>
      </c>
      <c r="G97" s="487">
        <v>15</v>
      </c>
    </row>
    <row r="98" spans="2:7" ht="12.75">
      <c r="B98" s="54"/>
      <c r="C98" s="306" t="str">
        <f>'C. Masterfiles'!C94</f>
        <v>S11</v>
      </c>
      <c r="D98" s="306" t="str">
        <f>'C. Masterfiles'!D94</f>
        <v>Calls to non-geographic numbers</v>
      </c>
      <c r="E98" s="308">
        <v>0.75</v>
      </c>
      <c r="F98" s="487">
        <v>143</v>
      </c>
      <c r="G98" s="487">
        <v>15</v>
      </c>
    </row>
    <row r="99" spans="2:7" ht="12.75">
      <c r="B99" s="54"/>
      <c r="C99" s="306" t="str">
        <f>'C. Masterfiles'!C95</f>
        <v>S12</v>
      </c>
      <c r="D99" s="306" t="str">
        <f>'C. Masterfiles'!D95</f>
        <v>Internet dial-up calls</v>
      </c>
      <c r="E99" s="308">
        <v>0.75</v>
      </c>
      <c r="F99" s="487">
        <v>900</v>
      </c>
      <c r="G99" s="487">
        <v>15</v>
      </c>
    </row>
    <row r="100" spans="2:7" ht="12.75">
      <c r="B100" s="54"/>
      <c r="C100" s="306" t="str">
        <f>'C. Masterfiles'!C96</f>
        <v>End</v>
      </c>
      <c r="D100" s="306" t="str">
        <f>'C. Masterfiles'!D96</f>
        <v>End of list</v>
      </c>
      <c r="E100" s="156"/>
      <c r="F100" s="157"/>
      <c r="G100" s="157"/>
    </row>
    <row r="101" spans="2:3" ht="12.75">
      <c r="B101" s="54"/>
      <c r="C101" s="1"/>
    </row>
    <row r="102" spans="2:3" ht="12.75">
      <c r="B102" s="89"/>
      <c r="C102" s="508" t="s">
        <v>221</v>
      </c>
    </row>
    <row r="103" spans="2:3" ht="12.75">
      <c r="B103" s="89"/>
      <c r="C103" s="265"/>
    </row>
    <row r="104" spans="2:8" s="126" customFormat="1" ht="51">
      <c r="B104" s="240"/>
      <c r="C104" s="216" t="s">
        <v>634</v>
      </c>
      <c r="D104" s="216" t="s">
        <v>686</v>
      </c>
      <c r="E104" s="305" t="s">
        <v>780</v>
      </c>
      <c r="F104" s="305" t="s">
        <v>782</v>
      </c>
      <c r="G104" s="305" t="s">
        <v>781</v>
      </c>
      <c r="H104" s="1"/>
    </row>
    <row r="105" spans="2:7" ht="12.75" customHeight="1">
      <c r="B105" s="54"/>
      <c r="C105" s="306" t="str">
        <f>'C. Masterfiles'!C84</f>
        <v>S01</v>
      </c>
      <c r="D105" s="306" t="str">
        <f>'C. Masterfiles'!D84</f>
        <v>On-net local calls</v>
      </c>
      <c r="E105" s="582">
        <f>IF('B. Dashboard'!$K$36=1,E71,(IF('B. Dashboard'!$K$36=2,E88)))</f>
        <v>0.75</v>
      </c>
      <c r="F105" s="484">
        <f>IF('B. Dashboard'!$K$36=1,F71,(IF('B. Dashboard'!$K$36=2,F88)))</f>
        <v>180</v>
      </c>
      <c r="G105" s="484">
        <f>IF('B. Dashboard'!$K$36=1,G71,(IF('B. Dashboard'!$K$36=2,G88)))</f>
        <v>15</v>
      </c>
    </row>
    <row r="106" spans="2:7" ht="12.75" customHeight="1">
      <c r="B106" s="54"/>
      <c r="C106" s="306" t="str">
        <f>'C. Masterfiles'!C85</f>
        <v>S02</v>
      </c>
      <c r="D106" s="306" t="str">
        <f>'C. Masterfiles'!D85</f>
        <v>On-net national calls</v>
      </c>
      <c r="E106" s="582">
        <f>IF('B. Dashboard'!$K$36=1,E72,(IF('B. Dashboard'!$K$36=2,E89)))</f>
        <v>0.75</v>
      </c>
      <c r="F106" s="484">
        <f>IF('B. Dashboard'!$K$36=1,F72,(IF('B. Dashboard'!$K$36=2,F89)))</f>
        <v>180</v>
      </c>
      <c r="G106" s="484">
        <f>IF('B. Dashboard'!$K$36=1,G72,(IF('B. Dashboard'!$K$36=2,G89)))</f>
        <v>15</v>
      </c>
    </row>
    <row r="107" spans="2:7" ht="12.75" customHeight="1">
      <c r="B107" s="54"/>
      <c r="C107" s="306" t="str">
        <f>'C. Masterfiles'!C86</f>
        <v>S03</v>
      </c>
      <c r="D107" s="306" t="str">
        <f>'C. Masterfiles'!D86</f>
        <v>Originating calls (local)</v>
      </c>
      <c r="E107" s="582">
        <f>IF('B. Dashboard'!$K$36=1,E73,(IF('B. Dashboard'!$K$36=2,E90)))</f>
        <v>0.7</v>
      </c>
      <c r="F107" s="484">
        <f>IF('B. Dashboard'!$K$36=1,F73,(IF('B. Dashboard'!$K$36=2,F90)))</f>
        <v>180</v>
      </c>
      <c r="G107" s="484">
        <f>IF('B. Dashboard'!$K$36=1,G73,(IF('B. Dashboard'!$K$36=2,G90)))</f>
        <v>15</v>
      </c>
    </row>
    <row r="108" spans="2:7" ht="12.75">
      <c r="B108" s="54"/>
      <c r="C108" s="306" t="str">
        <f>'C. Masterfiles'!C87</f>
        <v>S04</v>
      </c>
      <c r="D108" s="306" t="str">
        <f>'C. Masterfiles'!D87</f>
        <v>Originating calls (national) </v>
      </c>
      <c r="E108" s="582">
        <f>IF('B. Dashboard'!$K$36=1,E74,(IF('B. Dashboard'!$K$36=2,E91)))</f>
        <v>0.7</v>
      </c>
      <c r="F108" s="484">
        <f>IF('B. Dashboard'!$K$36=1,F74,(IF('B. Dashboard'!$K$36=2,F91)))</f>
        <v>70</v>
      </c>
      <c r="G108" s="484">
        <f>IF('B. Dashboard'!$K$36=1,G74,(IF('B. Dashboard'!$K$36=2,G91)))</f>
        <v>15</v>
      </c>
    </row>
    <row r="109" spans="1:7" ht="12.75">
      <c r="A109" s="95"/>
      <c r="B109" s="96"/>
      <c r="C109" s="306" t="str">
        <f>'C. Masterfiles'!C88</f>
        <v>S05</v>
      </c>
      <c r="D109" s="306" t="str">
        <f>'C. Masterfiles'!D88</f>
        <v>Originating calls (international)</v>
      </c>
      <c r="E109" s="582">
        <f>IF('B. Dashboard'!$K$36=1,E75,(IF('B. Dashboard'!$K$36=2,E92)))</f>
        <v>0.6</v>
      </c>
      <c r="F109" s="484">
        <f>IF('B. Dashboard'!$K$36=1,F75,(IF('B. Dashboard'!$K$36=2,F92)))</f>
        <v>200</v>
      </c>
      <c r="G109" s="484">
        <f>IF('B. Dashboard'!$K$36=1,G75,(IF('B. Dashboard'!$K$36=2,G92)))</f>
        <v>15</v>
      </c>
    </row>
    <row r="110" spans="1:7" ht="12.75">
      <c r="A110" s="95"/>
      <c r="B110" s="96"/>
      <c r="C110" s="306" t="str">
        <f>'C. Masterfiles'!C89</f>
        <v>S06</v>
      </c>
      <c r="D110" s="306" t="str">
        <f>'C. Masterfiles'!D89</f>
        <v>Terminating calls (local)</v>
      </c>
      <c r="E110" s="582">
        <f>IF('B. Dashboard'!$K$36=1,E76,(IF('B. Dashboard'!$K$36=2,E93)))</f>
        <v>0.75</v>
      </c>
      <c r="F110" s="484">
        <f>IF('B. Dashboard'!$K$36=1,F76,(IF('B. Dashboard'!$K$36=2,F93)))</f>
        <v>180</v>
      </c>
      <c r="G110" s="484">
        <f>IF('B. Dashboard'!$K$36=1,G76,(IF('B. Dashboard'!$K$36=2,G93)))</f>
        <v>15</v>
      </c>
    </row>
    <row r="111" spans="1:7" ht="12.75">
      <c r="A111" s="95"/>
      <c r="B111" s="96"/>
      <c r="C111" s="306" t="str">
        <f>'C. Masterfiles'!C90</f>
        <v>S07</v>
      </c>
      <c r="D111" s="306" t="str">
        <f>'C. Masterfiles'!D90</f>
        <v>Terminating calls (national) </v>
      </c>
      <c r="E111" s="582">
        <f>IF('B. Dashboard'!$K$36=1,E77,(IF('B. Dashboard'!$K$36=2,E94)))</f>
        <v>0.7</v>
      </c>
      <c r="F111" s="484">
        <f>IF('B. Dashboard'!$K$36=1,F77,(IF('B. Dashboard'!$K$36=2,F94)))</f>
        <v>70</v>
      </c>
      <c r="G111" s="484">
        <f>IF('B. Dashboard'!$K$36=1,G77,(IF('B. Dashboard'!$K$36=2,G94)))</f>
        <v>15</v>
      </c>
    </row>
    <row r="112" spans="2:7" ht="12.75">
      <c r="B112" s="54"/>
      <c r="C112" s="306" t="str">
        <f>'C. Masterfiles'!C91</f>
        <v>S08</v>
      </c>
      <c r="D112" s="306" t="str">
        <f>'C. Masterfiles'!D91</f>
        <v>Terminating calls (international)</v>
      </c>
      <c r="E112" s="582">
        <f>IF('B. Dashboard'!$K$36=1,E78,(IF('B. Dashboard'!$K$36=2,E95)))</f>
        <v>0.6</v>
      </c>
      <c r="F112" s="484">
        <f>IF('B. Dashboard'!$K$36=1,F78,(IF('B. Dashboard'!$K$36=2,F95)))</f>
        <v>200</v>
      </c>
      <c r="G112" s="484">
        <f>IF('B. Dashboard'!$K$36=1,G78,(IF('B. Dashboard'!$K$36=2,G95)))</f>
        <v>15</v>
      </c>
    </row>
    <row r="113" spans="2:7" ht="12.75">
      <c r="B113" s="54"/>
      <c r="C113" s="306" t="str">
        <f>'C. Masterfiles'!C92</f>
        <v>S09</v>
      </c>
      <c r="D113" s="306" t="str">
        <f>'C. Masterfiles'!D92</f>
        <v>Transit calls</v>
      </c>
      <c r="E113" s="582">
        <f>IF('B. Dashboard'!$K$36=1,E79,(IF('B. Dashboard'!$K$36=2,E96)))</f>
        <v>0.75</v>
      </c>
      <c r="F113" s="484">
        <f>IF('B. Dashboard'!$K$36=1,F79,(IF('B. Dashboard'!$K$36=2,F96)))</f>
        <v>100</v>
      </c>
      <c r="G113" s="484">
        <f>IF('B. Dashboard'!$K$36=1,G79,(IF('B. Dashboard'!$K$36=2,G96)))</f>
        <v>15</v>
      </c>
    </row>
    <row r="114" spans="2:7" ht="12.75">
      <c r="B114" s="54"/>
      <c r="C114" s="306" t="str">
        <f>'C. Masterfiles'!C93</f>
        <v>S10</v>
      </c>
      <c r="D114" s="306" t="str">
        <f>'C. Masterfiles'!D93</f>
        <v>Calls to directory enquiries, emergency &amp; helpdesk</v>
      </c>
      <c r="E114" s="582">
        <f>IF('B. Dashboard'!$K$36=1,E80,(IF('B. Dashboard'!$K$36=2,E97)))</f>
        <v>0.75</v>
      </c>
      <c r="F114" s="484">
        <f>IF('B. Dashboard'!$K$36=1,F80,(IF('B. Dashboard'!$K$36=2,F97)))</f>
        <v>70</v>
      </c>
      <c r="G114" s="484">
        <f>IF('B. Dashboard'!$K$36=1,G80,(IF('B. Dashboard'!$K$36=2,G97)))</f>
        <v>15</v>
      </c>
    </row>
    <row r="115" spans="2:7" ht="12.75">
      <c r="B115" s="54"/>
      <c r="C115" s="306" t="str">
        <f>'C. Masterfiles'!C94</f>
        <v>S11</v>
      </c>
      <c r="D115" s="306" t="str">
        <f>'C. Masterfiles'!D94</f>
        <v>Calls to non-geographic numbers</v>
      </c>
      <c r="E115" s="582">
        <f>IF('B. Dashboard'!$K$36=1,E81,(IF('B. Dashboard'!$K$36=2,E98)))</f>
        <v>0.75</v>
      </c>
      <c r="F115" s="484">
        <f>IF('B. Dashboard'!$K$36=1,F81,(IF('B. Dashboard'!$K$36=2,F98)))</f>
        <v>143</v>
      </c>
      <c r="G115" s="484">
        <f>IF('B. Dashboard'!$K$36=1,G81,(IF('B. Dashboard'!$K$36=2,G98)))</f>
        <v>15</v>
      </c>
    </row>
    <row r="116" spans="2:7" ht="12.75">
      <c r="B116" s="54"/>
      <c r="C116" s="306" t="str">
        <f>'C. Masterfiles'!C95</f>
        <v>S12</v>
      </c>
      <c r="D116" s="306" t="str">
        <f>'C. Masterfiles'!D95</f>
        <v>Internet dial-up calls</v>
      </c>
      <c r="E116" s="582">
        <f>IF('B. Dashboard'!$K$36=1,E82,(IF('B. Dashboard'!$K$36=2,E99)))</f>
        <v>0.75</v>
      </c>
      <c r="F116" s="484">
        <f>IF('B. Dashboard'!$K$36=1,F82,(IF('B. Dashboard'!$K$36=2,F99)))</f>
        <v>900</v>
      </c>
      <c r="G116" s="484">
        <f>IF('B. Dashboard'!$K$36=1,G82,(IF('B. Dashboard'!$K$36=2,G99)))</f>
        <v>15</v>
      </c>
    </row>
    <row r="117" spans="2:7" ht="12.75">
      <c r="B117" s="54"/>
      <c r="C117" s="306" t="str">
        <f>'C. Masterfiles'!C96</f>
        <v>End</v>
      </c>
      <c r="D117" s="306" t="str">
        <f>'C. Masterfiles'!D96</f>
        <v>End of list</v>
      </c>
      <c r="E117" s="156"/>
      <c r="F117" s="157"/>
      <c r="G117" s="157"/>
    </row>
    <row r="118" spans="2:3" ht="12.75">
      <c r="B118" s="54"/>
      <c r="C118" s="448"/>
    </row>
    <row r="120" spans="2:10" s="485" customFormat="1" ht="15.75">
      <c r="B120" s="482">
        <f>B66+0.01</f>
        <v>2.0299999999999994</v>
      </c>
      <c r="C120" s="482" t="s">
        <v>937</v>
      </c>
      <c r="D120" s="483"/>
      <c r="E120" s="483">
        <f aca="true" t="shared" si="3" ref="E120:J120">1+D120</f>
        <v>1</v>
      </c>
      <c r="F120" s="483">
        <f t="shared" si="3"/>
        <v>2</v>
      </c>
      <c r="G120" s="483">
        <f t="shared" si="3"/>
        <v>3</v>
      </c>
      <c r="H120" s="483">
        <f t="shared" si="3"/>
        <v>4</v>
      </c>
      <c r="I120" s="483">
        <f t="shared" si="3"/>
        <v>5</v>
      </c>
      <c r="J120" s="483">
        <f t="shared" si="3"/>
        <v>6</v>
      </c>
    </row>
    <row r="121" spans="2:10" ht="12.75">
      <c r="B121" s="89"/>
      <c r="C121" s="89"/>
      <c r="D121" s="98"/>
      <c r="E121" s="98"/>
      <c r="F121" s="98"/>
      <c r="G121" s="98"/>
      <c r="H121" s="98"/>
      <c r="I121" s="98"/>
      <c r="J121" s="98"/>
    </row>
    <row r="122" spans="3:10" ht="12.75">
      <c r="C122" s="120" t="s">
        <v>634</v>
      </c>
      <c r="D122" s="90" t="s">
        <v>686</v>
      </c>
      <c r="E122" s="91" t="s">
        <v>779</v>
      </c>
      <c r="F122" s="92">
        <f>'C. Masterfiles'!E99</f>
        <v>2008</v>
      </c>
      <c r="G122" s="92">
        <f>'C. Masterfiles'!F99</f>
        <v>2009</v>
      </c>
      <c r="H122" s="92">
        <f>'C. Masterfiles'!G99</f>
        <v>2010</v>
      </c>
      <c r="I122" s="92">
        <f>'C. Masterfiles'!H99</f>
        <v>2011</v>
      </c>
      <c r="J122" s="92">
        <f>'C. Masterfiles'!I99</f>
        <v>2012</v>
      </c>
    </row>
    <row r="123" spans="3:10" ht="12.75">
      <c r="C123" s="306" t="str">
        <f>'C. Masterfiles'!C84</f>
        <v>S01</v>
      </c>
      <c r="D123" s="306" t="str">
        <f>'C. Masterfiles'!D84</f>
        <v>On-net local calls</v>
      </c>
      <c r="E123" s="306" t="str">
        <f>'C. Masterfiles'!E84</f>
        <v>Voice Minutes</v>
      </c>
      <c r="F123" s="307">
        <f>F52*(1+$G105/$F105)+F52/$E105*60/$F105*(1-$E105)*$G105/60</f>
        <v>2807.157466666667</v>
      </c>
      <c r="G123" s="307">
        <f>G52*(1+$G105/$F105)+G52/$E105*60/$F105*(1-$E105)*$G105/60</f>
        <v>2751.9422999999997</v>
      </c>
      <c r="H123" s="307">
        <f>H52*(1+$G105/$F105)+H52/$E105*60/$F105*(1-$E105)*$G105/60</f>
        <v>2686.4</v>
      </c>
      <c r="I123" s="307">
        <f>I52*(1+$G105/$F105)+I52/$E105*60/$F105*(1-$E105)*$G105/60</f>
        <v>2638.978146666666</v>
      </c>
      <c r="J123" s="307">
        <f>J52*(1+$G105/$F105)+J52/$E105*60/$F105*(1-$E105)*$G105/60</f>
        <v>2536.9549696</v>
      </c>
    </row>
    <row r="124" spans="3:10" ht="12.75">
      <c r="C124" s="306" t="str">
        <f>'C. Masterfiles'!C85</f>
        <v>S02</v>
      </c>
      <c r="D124" s="306" t="str">
        <f>'C. Masterfiles'!D85</f>
        <v>On-net national calls</v>
      </c>
      <c r="E124" s="306" t="str">
        <f>'C. Masterfiles'!E85</f>
        <v>Voice Minutes</v>
      </c>
      <c r="F124" s="307">
        <f aca="true" t="shared" si="4" ref="F124:J134">F53*(1+$G106/$F106)+F53/$E106*60/$F106*(1-$E106)*$G106/60</f>
        <v>436.17063333333334</v>
      </c>
      <c r="G124" s="307">
        <f t="shared" si="4"/>
        <v>387.2706444444445</v>
      </c>
      <c r="H124" s="307">
        <f t="shared" si="4"/>
        <v>359.6163466666667</v>
      </c>
      <c r="I124" s="307">
        <f t="shared" si="4"/>
        <v>327.9417078888889</v>
      </c>
      <c r="J124" s="307">
        <f t="shared" si="4"/>
        <v>292.66159253333336</v>
      </c>
    </row>
    <row r="125" spans="3:10" ht="12.75">
      <c r="C125" s="306" t="str">
        <f>'C. Masterfiles'!C86</f>
        <v>S03</v>
      </c>
      <c r="D125" s="306" t="str">
        <f>'C. Masterfiles'!D86</f>
        <v>Originating calls (local)</v>
      </c>
      <c r="E125" s="306" t="str">
        <f>'C. Masterfiles'!E86</f>
        <v>Voice Minutes</v>
      </c>
      <c r="F125" s="307">
        <f t="shared" si="4"/>
        <v>74.67779642857143</v>
      </c>
      <c r="G125" s="307">
        <f t="shared" si="4"/>
        <v>68.11732649523809</v>
      </c>
      <c r="H125" s="307">
        <f t="shared" si="4"/>
        <v>66.16747876571428</v>
      </c>
      <c r="I125" s="307">
        <f t="shared" si="4"/>
        <v>65.4467944292857</v>
      </c>
      <c r="J125" s="307">
        <f t="shared" si="4"/>
        <v>65.61809695817142</v>
      </c>
    </row>
    <row r="126" spans="3:10" ht="12.75">
      <c r="C126" s="306" t="str">
        <f>'C. Masterfiles'!C87</f>
        <v>S04</v>
      </c>
      <c r="D126" s="306" t="str">
        <f>'C. Masterfiles'!D87</f>
        <v>Originating calls (national) </v>
      </c>
      <c r="E126" s="306" t="str">
        <f>'C. Masterfiles'!E87</f>
        <v>Voice Minutes</v>
      </c>
      <c r="F126" s="307">
        <f t="shared" si="4"/>
        <v>126.83222204081632</v>
      </c>
      <c r="G126" s="307">
        <f t="shared" si="4"/>
        <v>106.96836911020408</v>
      </c>
      <c r="H126" s="307">
        <f t="shared" si="4"/>
        <v>93.0116737567347</v>
      </c>
      <c r="I126" s="307">
        <f t="shared" si="4"/>
        <v>79.9861532212245</v>
      </c>
      <c r="J126" s="307">
        <f t="shared" si="4"/>
        <v>67.31378517472652</v>
      </c>
    </row>
    <row r="127" spans="3:10" ht="12.75">
      <c r="C127" s="306" t="str">
        <f>'C. Masterfiles'!C88</f>
        <v>S05</v>
      </c>
      <c r="D127" s="306" t="str">
        <f>'C. Masterfiles'!D88</f>
        <v>Originating calls (international)</v>
      </c>
      <c r="E127" s="306" t="str">
        <f>'C. Masterfiles'!E88</f>
        <v>Voice Minutes</v>
      </c>
      <c r="F127" s="307">
        <f t="shared" si="4"/>
        <v>134.83553625000002</v>
      </c>
      <c r="G127" s="307">
        <f t="shared" si="4"/>
        <v>93.03014250000001</v>
      </c>
      <c r="H127" s="307">
        <f t="shared" si="4"/>
        <v>78.232959</v>
      </c>
      <c r="I127" s="307">
        <f t="shared" si="4"/>
        <v>60.10203583124999</v>
      </c>
      <c r="J127" s="307">
        <f t="shared" si="4"/>
        <v>45.18564156</v>
      </c>
    </row>
    <row r="128" spans="3:10" ht="12.75">
      <c r="C128" s="306" t="str">
        <f>'C. Masterfiles'!C89</f>
        <v>S06</v>
      </c>
      <c r="D128" s="306" t="str">
        <f>'C. Masterfiles'!D89</f>
        <v>Terminating calls (local)</v>
      </c>
      <c r="E128" s="306" t="str">
        <f>'C. Masterfiles'!E89</f>
        <v>Voice Minutes</v>
      </c>
      <c r="F128" s="307">
        <f>IF('E. Graphs'!$X$17=2,0,F57*(1+$G110/$F110)+F57/$E110*60/$F110*(1-$E110)*$G110/60)</f>
        <v>67.32230133333333</v>
      </c>
      <c r="G128" s="307">
        <f>IF('E. Graphs'!$X$17=2,0,G57*(1+$G110/$F110)+G57/$E110*60/$F110*(1-$E110)*$G110/60)</f>
        <v>71.24972133333333</v>
      </c>
      <c r="H128" s="307">
        <f>IF('E. Graphs'!$X$17=2,0,H57*(1+$G110/$F110)+H57/$E110*60/$F110*(1-$E110)*$G110/60)</f>
        <v>80.1602215111111</v>
      </c>
      <c r="I128" s="307">
        <f>IF('E. Graphs'!$X$17=2,0,I57*(1+$G110/$F110)+I57/$E110*60/$F110*(1-$E110)*$G110/60)</f>
        <v>88.5376878688889</v>
      </c>
      <c r="J128" s="307">
        <f>IF('E. Graphs'!$X$17=2,0,J57*(1+$G110/$F110)+J57/$E110*60/$F110*(1-$E110)*$G110/60)</f>
        <v>96.21140070399998</v>
      </c>
    </row>
    <row r="129" spans="3:10" ht="12.75">
      <c r="C129" s="306" t="str">
        <f>'C. Masterfiles'!C90</f>
        <v>S07</v>
      </c>
      <c r="D129" s="306" t="str">
        <f>'C. Masterfiles'!D90</f>
        <v>Terminating calls (national) </v>
      </c>
      <c r="E129" s="306" t="str">
        <f>'C. Masterfiles'!E90</f>
        <v>Voice Minutes</v>
      </c>
      <c r="F129" s="307">
        <f>IF('E. Graphs'!$X$17=2,0,F58*(1+$G111/$F111)+F58/$E111*60/$F111*(1-$E111)*$G111/60)</f>
        <v>95.88123271836734</v>
      </c>
      <c r="G129" s="307">
        <f>IF('E. Graphs'!$X$17=2,0,G58*(1+$G111/$F111)+G58/$E111*60/$F111*(1-$E111)*$G111/60)</f>
        <v>97.38383777959186</v>
      </c>
      <c r="H129" s="307">
        <f>IF('E. Graphs'!$X$17=2,0,H58*(1+$G111/$F111)+H58/$E111*60/$F111*(1-$E111)*$G111/60)</f>
        <v>102.92727724408165</v>
      </c>
      <c r="I129" s="307">
        <f>IF('E. Graphs'!$X$17=2,0,I58*(1+$G111/$F111)+I58/$E111*60/$F111*(1-$E111)*$G111/60)</f>
        <v>107.09699809697959</v>
      </c>
      <c r="J129" s="307">
        <f>IF('E. Graphs'!$X$17=2,0,J58*(1+$G111/$F111)+J58/$E111*60/$F111*(1-$E111)*$G111/60)</f>
        <v>109.0525842369306</v>
      </c>
    </row>
    <row r="130" spans="3:10" ht="12.75">
      <c r="C130" s="306" t="str">
        <f>'C. Masterfiles'!C91</f>
        <v>S08</v>
      </c>
      <c r="D130" s="306" t="str">
        <f>'C. Masterfiles'!D91</f>
        <v>Terminating calls (international)</v>
      </c>
      <c r="E130" s="306" t="str">
        <f>'C. Masterfiles'!E91</f>
        <v>Voice Minutes</v>
      </c>
      <c r="F130" s="307">
        <f>IF('E. Graphs'!$X$17=2,0,F59*(1+$G112/$F112)+F59/$E112*60/$F112*(1-$E112)*$G112/60)</f>
        <v>437.80564125</v>
      </c>
      <c r="G130" s="307">
        <f>IF('E. Graphs'!$X$17=2,0,G59*(1+$G112/$F112)+G59/$E112*60/$F112*(1-$E112)*$G112/60)</f>
        <v>400.90951125</v>
      </c>
      <c r="H130" s="307">
        <f>IF('E. Graphs'!$X$17=2,0,H59*(1+$G112/$F112)+H59/$E112*60/$F112*(1-$E112)*$G112/60)</f>
        <v>386.29098000000005</v>
      </c>
      <c r="I130" s="307">
        <f>IF('E. Graphs'!$X$17=2,0,I59*(1+$G112/$F112)+I59/$E112*60/$F112*(1-$E112)*$G112/60)</f>
        <v>364.4362537875</v>
      </c>
      <c r="J130" s="307">
        <f>IF('E. Graphs'!$X$17=2,0,J59*(1+$G112/$F112)+J59/$E112*60/$F112*(1-$E112)*$G112/60)</f>
        <v>336.465414</v>
      </c>
    </row>
    <row r="131" spans="3:10" ht="12.75">
      <c r="C131" s="306" t="str">
        <f>'C. Masterfiles'!C92</f>
        <v>S09</v>
      </c>
      <c r="D131" s="306" t="str">
        <f>'C. Masterfiles'!D92</f>
        <v>Transit calls</v>
      </c>
      <c r="E131" s="306" t="str">
        <f>'C. Masterfiles'!E92</f>
        <v>Voice Minutes</v>
      </c>
      <c r="F131" s="307">
        <f t="shared" si="4"/>
        <v>180.691344</v>
      </c>
      <c r="G131" s="307">
        <f t="shared" si="4"/>
        <v>134.06390399999998</v>
      </c>
      <c r="H131" s="307">
        <f t="shared" si="4"/>
        <v>158.0682912</v>
      </c>
      <c r="I131" s="307">
        <f t="shared" si="4"/>
        <v>152.27708004000002</v>
      </c>
      <c r="J131" s="307">
        <f t="shared" si="4"/>
        <v>143.56089907199998</v>
      </c>
    </row>
    <row r="132" spans="3:10" ht="12.75">
      <c r="C132" s="306" t="str">
        <f>'C. Masterfiles'!C93</f>
        <v>S10</v>
      </c>
      <c r="D132" s="306" t="str">
        <f>'C. Masterfiles'!D93</f>
        <v>Calls to directory enquiries, emergency &amp; helpdesk</v>
      </c>
      <c r="E132" s="306" t="str">
        <f>'C. Masterfiles'!E93</f>
        <v>Voice Minutes</v>
      </c>
      <c r="F132" s="307">
        <f t="shared" si="4"/>
        <v>3.2723717657142855</v>
      </c>
      <c r="G132" s="307">
        <f t="shared" si="4"/>
        <v>3.2390895214285713</v>
      </c>
      <c r="H132" s="307">
        <f t="shared" si="4"/>
        <v>3.336366857142857</v>
      </c>
      <c r="I132" s="307">
        <f t="shared" si="4"/>
        <v>3.272903357142857</v>
      </c>
      <c r="J132" s="307">
        <f t="shared" si="4"/>
        <v>3.141987222857143</v>
      </c>
    </row>
    <row r="133" spans="3:10" ht="12.75">
      <c r="C133" s="306" t="str">
        <f>'C. Masterfiles'!C94</f>
        <v>S11</v>
      </c>
      <c r="D133" s="306" t="str">
        <f>'C. Masterfiles'!D94</f>
        <v>Calls to non-geographic numbers</v>
      </c>
      <c r="E133" s="306" t="str">
        <f>'C. Masterfiles'!E94</f>
        <v>Voice Minutes</v>
      </c>
      <c r="F133" s="307">
        <f t="shared" si="4"/>
        <v>1.9468837063636366</v>
      </c>
      <c r="G133" s="307">
        <f t="shared" si="4"/>
        <v>1.7984297465734267</v>
      </c>
      <c r="H133" s="307">
        <f t="shared" si="4"/>
        <v>1.3644189250349652</v>
      </c>
      <c r="I133" s="307">
        <f t="shared" si="4"/>
        <v>1.4229999549685315</v>
      </c>
      <c r="J133" s="307">
        <f t="shared" si="4"/>
        <v>1.5098778469560838</v>
      </c>
    </row>
    <row r="134" spans="3:10" ht="12.75">
      <c r="C134" s="306" t="str">
        <f>'C. Masterfiles'!C95</f>
        <v>S12</v>
      </c>
      <c r="D134" s="306" t="str">
        <f>'C. Masterfiles'!D95</f>
        <v>Internet dial-up calls</v>
      </c>
      <c r="E134" s="306" t="str">
        <f>'C. Masterfiles'!E95</f>
        <v>Voice Minutes</v>
      </c>
      <c r="F134" s="307">
        <f t="shared" si="4"/>
        <v>408.414772</v>
      </c>
      <c r="G134" s="307">
        <f t="shared" si="4"/>
        <v>245.83014355555554</v>
      </c>
      <c r="H134" s="307">
        <f t="shared" si="4"/>
        <v>80.78982044444444</v>
      </c>
      <c r="I134" s="307">
        <f t="shared" si="4"/>
        <v>37.80417177111111</v>
      </c>
      <c r="J134" s="307">
        <f t="shared" si="4"/>
        <v>17.311498197333332</v>
      </c>
    </row>
    <row r="135" spans="3:10" ht="12.75">
      <c r="C135" s="306" t="str">
        <f>'C. Masterfiles'!C96</f>
        <v>End</v>
      </c>
      <c r="D135" s="306" t="str">
        <f>'C. Masterfiles'!D96</f>
        <v>End of list</v>
      </c>
      <c r="E135" s="156"/>
      <c r="F135" s="157"/>
      <c r="G135" s="157"/>
      <c r="H135" s="156"/>
      <c r="I135" s="157"/>
      <c r="J135" s="157"/>
    </row>
    <row r="138" spans="2:10" s="485" customFormat="1" ht="15.75">
      <c r="B138" s="482">
        <f>B120+0.01</f>
        <v>2.039999999999999</v>
      </c>
      <c r="C138" s="482" t="s">
        <v>764</v>
      </c>
      <c r="D138" s="483"/>
      <c r="E138" s="483">
        <f aca="true" t="shared" si="5" ref="E138:J138">1+D138</f>
        <v>1</v>
      </c>
      <c r="F138" s="483">
        <f t="shared" si="5"/>
        <v>2</v>
      </c>
      <c r="G138" s="483">
        <f t="shared" si="5"/>
        <v>3</v>
      </c>
      <c r="H138" s="483">
        <f t="shared" si="5"/>
        <v>4</v>
      </c>
      <c r="I138" s="483">
        <f t="shared" si="5"/>
        <v>5</v>
      </c>
      <c r="J138" s="483">
        <f t="shared" si="5"/>
        <v>6</v>
      </c>
    </row>
    <row r="139" spans="2:10" ht="12.75">
      <c r="B139" s="89"/>
      <c r="C139" s="89"/>
      <c r="D139" s="98"/>
      <c r="E139" s="98"/>
      <c r="F139" s="98"/>
      <c r="G139" s="98"/>
      <c r="H139" s="98"/>
      <c r="I139" s="98"/>
      <c r="J139" s="98"/>
    </row>
    <row r="140" spans="3:10" ht="12.75">
      <c r="C140" s="120" t="s">
        <v>634</v>
      </c>
      <c r="D140" s="90" t="s">
        <v>686</v>
      </c>
      <c r="E140" s="91" t="s">
        <v>779</v>
      </c>
      <c r="F140" s="92">
        <f>'C. Masterfiles'!E99</f>
        <v>2008</v>
      </c>
      <c r="G140" s="92">
        <f>'C. Masterfiles'!F99</f>
        <v>2009</v>
      </c>
      <c r="H140" s="92">
        <f>'C. Masterfiles'!G99</f>
        <v>2010</v>
      </c>
      <c r="I140" s="92">
        <f>'C. Masterfiles'!H99</f>
        <v>2011</v>
      </c>
      <c r="J140" s="92">
        <f>'C. Masterfiles'!I99</f>
        <v>2012</v>
      </c>
    </row>
    <row r="141" spans="3:10" ht="12.75">
      <c r="C141" s="306" t="str">
        <f>'C. Masterfiles'!C84</f>
        <v>S01</v>
      </c>
      <c r="D141" s="306" t="str">
        <f>'C. Masterfiles'!D84</f>
        <v>On-net local calls</v>
      </c>
      <c r="E141" s="306" t="str">
        <f>'C. Masterfiles'!E84</f>
        <v>Voice Minutes</v>
      </c>
      <c r="F141" s="307">
        <f>F123*60/$F105/$E105</f>
        <v>1247.625540740741</v>
      </c>
      <c r="G141" s="307">
        <f>G123*60/$F105/$E105</f>
        <v>1223.0854666666664</v>
      </c>
      <c r="H141" s="307">
        <f>H123*60/$F105/$E105</f>
        <v>1193.9555555555555</v>
      </c>
      <c r="I141" s="307">
        <f>I123*60/$F105/$E105</f>
        <v>1172.8791762962958</v>
      </c>
      <c r="J141" s="307">
        <f>J123*60/$F105/$E105</f>
        <v>1127.5355420444444</v>
      </c>
    </row>
    <row r="142" spans="3:10" ht="12.75">
      <c r="C142" s="306" t="str">
        <f>'C. Masterfiles'!C85</f>
        <v>S02</v>
      </c>
      <c r="D142" s="306" t="str">
        <f>'C. Masterfiles'!D85</f>
        <v>On-net national calls</v>
      </c>
      <c r="E142" s="306" t="str">
        <f>'C. Masterfiles'!E85</f>
        <v>Voice Minutes</v>
      </c>
      <c r="F142" s="307">
        <f aca="true" t="shared" si="6" ref="F142:J145">F124*60/$F106/$E106</f>
        <v>193.85361481481482</v>
      </c>
      <c r="G142" s="307">
        <f t="shared" si="6"/>
        <v>172.1202864197531</v>
      </c>
      <c r="H142" s="307">
        <f t="shared" si="6"/>
        <v>159.8294874074074</v>
      </c>
      <c r="I142" s="307">
        <f t="shared" si="6"/>
        <v>145.75187017283952</v>
      </c>
      <c r="J142" s="307">
        <f t="shared" si="6"/>
        <v>130.0718189037037</v>
      </c>
    </row>
    <row r="143" spans="3:10" ht="12.75">
      <c r="C143" s="306" t="str">
        <f>'C. Masterfiles'!C86</f>
        <v>S03</v>
      </c>
      <c r="D143" s="306" t="str">
        <f>'C. Masterfiles'!D86</f>
        <v>Originating calls (local)</v>
      </c>
      <c r="E143" s="306" t="str">
        <f>'C. Masterfiles'!E86</f>
        <v>Voice Minutes</v>
      </c>
      <c r="F143" s="307">
        <f t="shared" si="6"/>
        <v>35.56085544217687</v>
      </c>
      <c r="G143" s="307">
        <f t="shared" si="6"/>
        <v>32.43682214058957</v>
      </c>
      <c r="H143" s="307">
        <f t="shared" si="6"/>
        <v>31.50832322176871</v>
      </c>
      <c r="I143" s="307">
        <f t="shared" si="6"/>
        <v>31.165140204421768</v>
      </c>
      <c r="J143" s="307">
        <f t="shared" si="6"/>
        <v>31.246712837224486</v>
      </c>
    </row>
    <row r="144" spans="3:10" ht="12.75">
      <c r="C144" s="306" t="str">
        <f>'C. Masterfiles'!C87</f>
        <v>S04</v>
      </c>
      <c r="D144" s="306" t="str">
        <f>'C. Masterfiles'!D87</f>
        <v>Originating calls (national) </v>
      </c>
      <c r="E144" s="306" t="str">
        <f>'C. Masterfiles'!E87</f>
        <v>Voice Minutes</v>
      </c>
      <c r="F144" s="307">
        <f t="shared" si="6"/>
        <v>155.30476168263223</v>
      </c>
      <c r="G144" s="307">
        <f t="shared" si="6"/>
        <v>130.9816764614744</v>
      </c>
      <c r="H144" s="307">
        <f t="shared" si="6"/>
        <v>113.89184541640985</v>
      </c>
      <c r="I144" s="307">
        <f t="shared" si="6"/>
        <v>97.94222843415245</v>
      </c>
      <c r="J144" s="307">
        <f t="shared" si="6"/>
        <v>82.42504307109371</v>
      </c>
    </row>
    <row r="145" spans="3:10" ht="12.75">
      <c r="C145" s="306" t="str">
        <f>'C. Masterfiles'!C88</f>
        <v>S05</v>
      </c>
      <c r="D145" s="306" t="str">
        <f>'C. Masterfiles'!D88</f>
        <v>Originating calls (international)</v>
      </c>
      <c r="E145" s="306" t="str">
        <f>'C. Masterfiles'!E88</f>
        <v>Voice Minutes</v>
      </c>
      <c r="F145" s="307">
        <f t="shared" si="6"/>
        <v>67.41776812500001</v>
      </c>
      <c r="G145" s="307">
        <f t="shared" si="6"/>
        <v>46.51507125000001</v>
      </c>
      <c r="H145" s="307">
        <f t="shared" si="6"/>
        <v>39.116479500000004</v>
      </c>
      <c r="I145" s="307">
        <f t="shared" si="6"/>
        <v>30.051017915624996</v>
      </c>
      <c r="J145" s="307">
        <f t="shared" si="6"/>
        <v>22.59282078</v>
      </c>
    </row>
    <row r="146" spans="3:10" ht="12.75">
      <c r="C146" s="306" t="str">
        <f>'C. Masterfiles'!C89</f>
        <v>S06</v>
      </c>
      <c r="D146" s="306" t="str">
        <f>'C. Masterfiles'!D89</f>
        <v>Terminating calls (local)</v>
      </c>
      <c r="E146" s="306" t="str">
        <f>'C. Masterfiles'!E89</f>
        <v>Voice Minutes</v>
      </c>
      <c r="F146" s="307">
        <f>IF('E. Graphs'!$X$17=2,0,F128*60/$F110/$E110)</f>
        <v>29.92102281481481</v>
      </c>
      <c r="G146" s="307">
        <f>IF('E. Graphs'!$X$17=2,0,G128*60/$F110/$E110)</f>
        <v>31.666542814814807</v>
      </c>
      <c r="H146" s="307">
        <f>IF('E. Graphs'!$X$17=2,0,H128*60/$F110/$E110)</f>
        <v>35.62676511604938</v>
      </c>
      <c r="I146" s="307">
        <f>IF('E. Graphs'!$X$17=2,0,I128*60/$F110/$E110)</f>
        <v>39.350083497283954</v>
      </c>
      <c r="J146" s="307">
        <f>IF('E. Graphs'!$X$17=2,0,J128*60/$F110/$E110)</f>
        <v>42.760622535111104</v>
      </c>
    </row>
    <row r="147" spans="3:10" ht="12.75">
      <c r="C147" s="306" t="str">
        <f>'C. Masterfiles'!C90</f>
        <v>S07</v>
      </c>
      <c r="D147" s="306" t="str">
        <f>'C. Masterfiles'!D90</f>
        <v>Terminating calls (national) </v>
      </c>
      <c r="E147" s="306" t="str">
        <f>'C. Masterfiles'!E90</f>
        <v>Voice Minutes</v>
      </c>
      <c r="F147" s="307">
        <f>IF('E. Graphs'!$X$17=2,0,F129*60/$F111/$E111)</f>
        <v>117.40559108371512</v>
      </c>
      <c r="G147" s="307">
        <f>IF('E. Graphs'!$X$17=2,0,G129*60/$F111/$E111)</f>
        <v>119.24551564847982</v>
      </c>
      <c r="H147" s="307">
        <f>IF('E. Graphs'!$X$17=2,0,H129*60/$F111/$E111)</f>
        <v>126.03340070703878</v>
      </c>
      <c r="I147" s="307">
        <f>IF('E. Graphs'!$X$17=2,0,I129*60/$F111/$E111)</f>
        <v>131.13918134324032</v>
      </c>
      <c r="J147" s="307">
        <f>IF('E. Graphs'!$X$17=2,0,J129*60/$F111/$E111)</f>
        <v>133.5337766166497</v>
      </c>
    </row>
    <row r="148" spans="3:10" ht="12.75">
      <c r="C148" s="306" t="str">
        <f>'C. Masterfiles'!C91</f>
        <v>S08</v>
      </c>
      <c r="D148" s="306" t="str">
        <f>'C. Masterfiles'!D91</f>
        <v>Terminating calls (international)</v>
      </c>
      <c r="E148" s="306" t="str">
        <f>'C. Masterfiles'!E91</f>
        <v>Voice Minutes</v>
      </c>
      <c r="F148" s="307">
        <f>IF('E. Graphs'!$X$17=2,0,F130*60/$F112/$E112)</f>
        <v>218.90282062500003</v>
      </c>
      <c r="G148" s="307">
        <f>IF('E. Graphs'!$X$17=2,0,G130*60/$F112/$E112)</f>
        <v>200.454755625</v>
      </c>
      <c r="H148" s="307">
        <f>IF('E. Graphs'!$X$17=2,0,H130*60/$F112/$E112)</f>
        <v>193.14549000000005</v>
      </c>
      <c r="I148" s="307">
        <f>IF('E. Graphs'!$X$17=2,0,I130*60/$F112/$E112)</f>
        <v>182.21812689374997</v>
      </c>
      <c r="J148" s="307">
        <f>IF('E. Graphs'!$X$17=2,0,J130*60/$F112/$E112)</f>
        <v>168.232707</v>
      </c>
    </row>
    <row r="149" spans="3:10" ht="12.75">
      <c r="C149" s="306" t="str">
        <f>'C. Masterfiles'!C92</f>
        <v>S09</v>
      </c>
      <c r="D149" s="306" t="str">
        <f>'C. Masterfiles'!D92</f>
        <v>Transit calls</v>
      </c>
      <c r="E149" s="306" t="str">
        <f>'C. Masterfiles'!E92</f>
        <v>Voice Minutes</v>
      </c>
      <c r="F149" s="307">
        <f aca="true" t="shared" si="7" ref="F149:J152">F131*60/$F113/$E113</f>
        <v>144.5530752</v>
      </c>
      <c r="G149" s="307">
        <f t="shared" si="7"/>
        <v>107.25112319999998</v>
      </c>
      <c r="H149" s="307">
        <f t="shared" si="7"/>
        <v>126.45463295999998</v>
      </c>
      <c r="I149" s="307">
        <f t="shared" si="7"/>
        <v>121.82166403200002</v>
      </c>
      <c r="J149" s="307">
        <f t="shared" si="7"/>
        <v>114.84871925759997</v>
      </c>
    </row>
    <row r="150" spans="3:10" ht="12.75">
      <c r="C150" s="306" t="str">
        <f>'C. Masterfiles'!C93</f>
        <v>S10</v>
      </c>
      <c r="D150" s="306" t="str">
        <f>'C. Masterfiles'!D93</f>
        <v>Calls to directory enquiries, emergency &amp; helpdesk</v>
      </c>
      <c r="E150" s="306" t="str">
        <f>'C. Masterfiles'!E93</f>
        <v>Voice Minutes</v>
      </c>
      <c r="F150" s="307">
        <f t="shared" si="7"/>
        <v>3.739853446530612</v>
      </c>
      <c r="G150" s="307">
        <f t="shared" si="7"/>
        <v>3.7018165959183675</v>
      </c>
      <c r="H150" s="307">
        <f t="shared" si="7"/>
        <v>3.8129906938775506</v>
      </c>
      <c r="I150" s="307">
        <f t="shared" si="7"/>
        <v>3.740460979591836</v>
      </c>
      <c r="J150" s="307">
        <f t="shared" si="7"/>
        <v>3.5908425404081634</v>
      </c>
    </row>
    <row r="151" spans="3:10" ht="12.75">
      <c r="C151" s="306" t="str">
        <f>'C. Masterfiles'!C94</f>
        <v>S11</v>
      </c>
      <c r="D151" s="306" t="str">
        <f>'C. Masterfiles'!D94</f>
        <v>Calls to non-geographic numbers</v>
      </c>
      <c r="E151" s="306" t="str">
        <f>'C. Masterfiles'!E94</f>
        <v>Voice Minutes</v>
      </c>
      <c r="F151" s="307">
        <f t="shared" si="7"/>
        <v>1.0891657098537828</v>
      </c>
      <c r="G151" s="307">
        <f t="shared" si="7"/>
        <v>1.0061145435375813</v>
      </c>
      <c r="H151" s="307">
        <f t="shared" si="7"/>
        <v>0.7633112867328476</v>
      </c>
      <c r="I151" s="307">
        <f t="shared" si="7"/>
        <v>0.7960838908914861</v>
      </c>
      <c r="J151" s="307">
        <f t="shared" si="7"/>
        <v>0.8446869073880189</v>
      </c>
    </row>
    <row r="152" spans="3:10" ht="12.75">
      <c r="C152" s="306" t="str">
        <f>'C. Masterfiles'!C95</f>
        <v>S12</v>
      </c>
      <c r="D152" s="306" t="str">
        <f>'C. Masterfiles'!D95</f>
        <v>Internet dial-up calls</v>
      </c>
      <c r="E152" s="306" t="str">
        <f>'C. Masterfiles'!E95</f>
        <v>Voice Minutes</v>
      </c>
      <c r="F152" s="307">
        <f t="shared" si="7"/>
        <v>36.30353528888889</v>
      </c>
      <c r="G152" s="307">
        <f t="shared" si="7"/>
        <v>21.85156831604938</v>
      </c>
      <c r="H152" s="307">
        <f t="shared" si="7"/>
        <v>7.181317372839505</v>
      </c>
      <c r="I152" s="307">
        <f t="shared" si="7"/>
        <v>3.3603708240987653</v>
      </c>
      <c r="J152" s="307">
        <f t="shared" si="7"/>
        <v>1.538799839762963</v>
      </c>
    </row>
    <row r="153" spans="3:10" ht="12.75">
      <c r="C153" s="488" t="str">
        <f>'C. Masterfiles'!C96</f>
        <v>End</v>
      </c>
      <c r="D153" s="488" t="str">
        <f>'C. Masterfiles'!D96</f>
        <v>End of list</v>
      </c>
      <c r="E153" s="489" t="s">
        <v>765</v>
      </c>
      <c r="F153" s="477">
        <f>SUM(F141:F152)</f>
        <v>2251.677604974168</v>
      </c>
      <c r="G153" s="477">
        <f>SUM(G141:G152)</f>
        <v>2090.3167596822836</v>
      </c>
      <c r="H153" s="477">
        <f>SUM(H141:H152)</f>
        <v>2031.3195992376795</v>
      </c>
      <c r="I153" s="477">
        <f>SUM(I141:I152)</f>
        <v>1960.2154044841907</v>
      </c>
      <c r="J153" s="477">
        <f>SUM(J141:J152)</f>
        <v>1859.2220923333862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rogerson</dc:creator>
  <cp:keywords/>
  <dc:description/>
  <cp:lastModifiedBy>Sergiu Copacean</cp:lastModifiedBy>
  <cp:lastPrinted>2010-11-05T13:00:53Z</cp:lastPrinted>
  <dcterms:created xsi:type="dcterms:W3CDTF">2006-11-29T14:40:46Z</dcterms:created>
  <dcterms:modified xsi:type="dcterms:W3CDTF">2012-02-08T13:31:59Z</dcterms:modified>
  <cp:category/>
  <cp:version/>
  <cp:contentType/>
  <cp:contentStatus/>
</cp:coreProperties>
</file>